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Z:\Tolls Application\Tolls 01-20\2018_Toll Analysis &amp; Schedules\2017 December Filing\"/>
    </mc:Choice>
  </mc:AlternateContent>
  <bookViews>
    <workbookView xWindow="-12" yWindow="4392" windowWidth="20448" windowHeight="1848" tabRatio="881" firstSheet="13" activeTab="14"/>
  </bookViews>
  <sheets>
    <sheet name="Segmented SAUC" sheetId="51" state="hidden" r:id="rId1"/>
    <sheet name="TBO 2015" sheetId="58" state="hidden" r:id="rId2"/>
    <sheet name="TBO 2016" sheetId="59" state="hidden" r:id="rId3"/>
    <sheet name="SNB-2015 " sheetId="19" state="hidden" r:id="rId4"/>
    <sheet name="SNB-2016" sheetId="20" state="hidden" r:id="rId5"/>
    <sheet name="SNB-2017" sheetId="21" state="hidden" r:id="rId6"/>
    <sheet name="SNB-2018" sheetId="22" state="hidden" r:id="rId7"/>
    <sheet name="SNB-2019" sheetId="23" state="hidden" r:id="rId8"/>
    <sheet name="SNB-2020" sheetId="24" state="hidden" r:id="rId9"/>
    <sheet name="SNB-Average" sheetId="25" state="hidden" r:id="rId10"/>
    <sheet name="SNB-Compliance" sheetId="26" state="hidden" r:id="rId11"/>
    <sheet name="SNB-Compliance (2)" sheetId="27" state="hidden" r:id="rId12"/>
    <sheet name="Net Plant" sheetId="28" state="hidden" r:id="rId13"/>
    <sheet name="2017 (Jul) SchedA" sheetId="62" r:id="rId14"/>
    <sheet name="2017 (Jul) SchedB" sheetId="63" r:id="rId15"/>
  </sheets>
  <externalReferences>
    <externalReference r:id="rId16"/>
  </externalReferences>
  <definedNames>
    <definedName name="_xlnm._FilterDatabase" localSheetId="14" hidden="1">'2017 (Jul) SchedB'!#REF!</definedName>
    <definedName name="A" localSheetId="13" hidden="1">{#N/A,#N/A,TRUE,"Consolidated";#N/A,#N/A,TRUE,"Admin";#N/A,#N/A,TRUE,"Express";#N/A,#N/A,TRUE,"Other";#N/A,#N/A,TRUE,"Platte";#N/A,#N/A,TRUE,"Cajun"}</definedName>
    <definedName name="A" localSheetId="12" hidden="1">{#N/A,#N/A,TRUE,"Consolidated";#N/A,#N/A,TRUE,"Admin";#N/A,#N/A,TRUE,"Express";#N/A,#N/A,TRUE,"Other";#N/A,#N/A,TRUE,"Platte";#N/A,#N/A,TRUE,"Cajun"}</definedName>
    <definedName name="A" localSheetId="0" hidden="1">{#N/A,#N/A,TRUE,"Consolidated";#N/A,#N/A,TRUE,"Admin";#N/A,#N/A,TRUE,"Express";#N/A,#N/A,TRUE,"Other";#N/A,#N/A,TRUE,"Platte";#N/A,#N/A,TRUE,"Cajun"}</definedName>
    <definedName name="A" localSheetId="3" hidden="1">{#N/A,#N/A,TRUE,"Consolidated";#N/A,#N/A,TRUE,"Admin";#N/A,#N/A,TRUE,"Express";#N/A,#N/A,TRUE,"Other";#N/A,#N/A,TRUE,"Platte";#N/A,#N/A,TRUE,"Cajun"}</definedName>
    <definedName name="A" localSheetId="4" hidden="1">{#N/A,#N/A,TRUE,"Consolidated";#N/A,#N/A,TRUE,"Admin";#N/A,#N/A,TRUE,"Express";#N/A,#N/A,TRUE,"Other";#N/A,#N/A,TRUE,"Platte";#N/A,#N/A,TRUE,"Cajun"}</definedName>
    <definedName name="A" localSheetId="5" hidden="1">{#N/A,#N/A,TRUE,"Consolidated";#N/A,#N/A,TRUE,"Admin";#N/A,#N/A,TRUE,"Express";#N/A,#N/A,TRUE,"Other";#N/A,#N/A,TRUE,"Platte";#N/A,#N/A,TRUE,"Cajun"}</definedName>
    <definedName name="A" localSheetId="6" hidden="1">{#N/A,#N/A,TRUE,"Consolidated";#N/A,#N/A,TRUE,"Admin";#N/A,#N/A,TRUE,"Express";#N/A,#N/A,TRUE,"Other";#N/A,#N/A,TRUE,"Platte";#N/A,#N/A,TRUE,"Cajun"}</definedName>
    <definedName name="A" localSheetId="7" hidden="1">{#N/A,#N/A,TRUE,"Consolidated";#N/A,#N/A,TRUE,"Admin";#N/A,#N/A,TRUE,"Express";#N/A,#N/A,TRUE,"Other";#N/A,#N/A,TRUE,"Platte";#N/A,#N/A,TRUE,"Cajun"}</definedName>
    <definedName name="A" localSheetId="8" hidden="1">{#N/A,#N/A,TRUE,"Consolidated";#N/A,#N/A,TRUE,"Admin";#N/A,#N/A,TRUE,"Express";#N/A,#N/A,TRUE,"Other";#N/A,#N/A,TRUE,"Platte";#N/A,#N/A,TRUE,"Cajun"}</definedName>
    <definedName name="A" localSheetId="9" hidden="1">{#N/A,#N/A,TRUE,"Consolidated";#N/A,#N/A,TRUE,"Admin";#N/A,#N/A,TRUE,"Express";#N/A,#N/A,TRUE,"Other";#N/A,#N/A,TRUE,"Platte";#N/A,#N/A,TRUE,"Cajun"}</definedName>
    <definedName name="A" localSheetId="10" hidden="1">{#N/A,#N/A,TRUE,"Consolidated";#N/A,#N/A,TRUE,"Admin";#N/A,#N/A,TRUE,"Express";#N/A,#N/A,TRUE,"Other";#N/A,#N/A,TRUE,"Platte";#N/A,#N/A,TRUE,"Cajun"}</definedName>
    <definedName name="A" localSheetId="11" hidden="1">{#N/A,#N/A,TRUE,"Consolidated";#N/A,#N/A,TRUE,"Admin";#N/A,#N/A,TRUE,"Express";#N/A,#N/A,TRUE,"Other";#N/A,#N/A,TRUE,"Platte";#N/A,#N/A,TRUE,"Cajun"}</definedName>
    <definedName name="A" hidden="1">{#N/A,#N/A,TRUE,"Consolidated";#N/A,#N/A,TRUE,"Admin";#N/A,#N/A,TRUE,"Express";#N/A,#N/A,TRUE,"Other";#N/A,#N/A,TRUE,"Platte";#N/A,#N/A,TRUE,"Cajun"}</definedName>
    <definedName name="B" hidden="1">{#N/A,#N/A,TRUE,"Consolidated";#N/A,#N/A,TRUE,"Admin";#N/A,#N/A,TRUE,"Express";#N/A,#N/A,TRUE,"Other";#N/A,#N/A,TRUE,"Platte";#N/A,#N/A,TRUE,"Cajun"}</definedName>
    <definedName name="Conversion">28.17399</definedName>
    <definedName name="Conversion_Factor">28.17399</definedName>
    <definedName name="convert_aeub">28.17399</definedName>
    <definedName name="convert_neb">28.32784</definedName>
    <definedName name="Convert_Rate_Metric_Imp">0.000925634</definedName>
    <definedName name="dffdds" localSheetId="13" hidden="1">{#N/A,#N/A,FALSE,"TITLE PAGE";#N/A,#N/A,FALSE,"Cash Flow";#N/A,#N/A,FALSE,"Cash Flow Detailed";#N/A,#N/A,FALSE,"EO summary IS";#N/A,#N/A,FALSE,"Op Income";#N/A,#N/A,FALSE,"Power ";#N/A,#N/A,FALSE,"GAS";#N/A,#N/A,FALSE,"MidstreamPage";#N/A,#N/A,FALSE,"P&amp;P";#N/A,#N/A,FALSE,"International";#N/A,#N/A,FALSE,"Controllable Costs"}</definedName>
    <definedName name="dffdds" localSheetId="12" hidden="1">{#N/A,#N/A,FALSE,"TITLE PAGE";#N/A,#N/A,FALSE,"Cash Flow";#N/A,#N/A,FALSE,"Cash Flow Detailed";#N/A,#N/A,FALSE,"EO summary IS";#N/A,#N/A,FALSE,"Op Income";#N/A,#N/A,FALSE,"Power ";#N/A,#N/A,FALSE,"GAS";#N/A,#N/A,FALSE,"MidstreamPage";#N/A,#N/A,FALSE,"P&amp;P";#N/A,#N/A,FALSE,"International";#N/A,#N/A,FALSE,"Controllable Costs"}</definedName>
    <definedName name="dffdds" localSheetId="0" hidden="1">{#N/A,#N/A,FALSE,"TITLE PAGE";#N/A,#N/A,FALSE,"Cash Flow";#N/A,#N/A,FALSE,"Cash Flow Detailed";#N/A,#N/A,FALSE,"EO summary IS";#N/A,#N/A,FALSE,"Op Income";#N/A,#N/A,FALSE,"Power ";#N/A,#N/A,FALSE,"GAS";#N/A,#N/A,FALSE,"MidstreamPage";#N/A,#N/A,FALSE,"P&amp;P";#N/A,#N/A,FALSE,"International";#N/A,#N/A,FALSE,"Controllable Costs"}</definedName>
    <definedName name="dffdds" localSheetId="3" hidden="1">{#N/A,#N/A,FALSE,"TITLE PAGE";#N/A,#N/A,FALSE,"Cash Flow";#N/A,#N/A,FALSE,"Cash Flow Detailed";#N/A,#N/A,FALSE,"EO summary IS";#N/A,#N/A,FALSE,"Op Income";#N/A,#N/A,FALSE,"Power ";#N/A,#N/A,FALSE,"GAS";#N/A,#N/A,FALSE,"MidstreamPage";#N/A,#N/A,FALSE,"P&amp;P";#N/A,#N/A,FALSE,"International";#N/A,#N/A,FALSE,"Controllable Costs"}</definedName>
    <definedName name="dffdds" localSheetId="4" hidden="1">{#N/A,#N/A,FALSE,"TITLE PAGE";#N/A,#N/A,FALSE,"Cash Flow";#N/A,#N/A,FALSE,"Cash Flow Detailed";#N/A,#N/A,FALSE,"EO summary IS";#N/A,#N/A,FALSE,"Op Income";#N/A,#N/A,FALSE,"Power ";#N/A,#N/A,FALSE,"GAS";#N/A,#N/A,FALSE,"MidstreamPage";#N/A,#N/A,FALSE,"P&amp;P";#N/A,#N/A,FALSE,"International";#N/A,#N/A,FALSE,"Controllable Costs"}</definedName>
    <definedName name="dffdds" localSheetId="5" hidden="1">{#N/A,#N/A,FALSE,"TITLE PAGE";#N/A,#N/A,FALSE,"Cash Flow";#N/A,#N/A,FALSE,"Cash Flow Detailed";#N/A,#N/A,FALSE,"EO summary IS";#N/A,#N/A,FALSE,"Op Income";#N/A,#N/A,FALSE,"Power ";#N/A,#N/A,FALSE,"GAS";#N/A,#N/A,FALSE,"MidstreamPage";#N/A,#N/A,FALSE,"P&amp;P";#N/A,#N/A,FALSE,"International";#N/A,#N/A,FALSE,"Controllable Costs"}</definedName>
    <definedName name="dffdds" localSheetId="6" hidden="1">{#N/A,#N/A,FALSE,"TITLE PAGE";#N/A,#N/A,FALSE,"Cash Flow";#N/A,#N/A,FALSE,"Cash Flow Detailed";#N/A,#N/A,FALSE,"EO summary IS";#N/A,#N/A,FALSE,"Op Income";#N/A,#N/A,FALSE,"Power ";#N/A,#N/A,FALSE,"GAS";#N/A,#N/A,FALSE,"MidstreamPage";#N/A,#N/A,FALSE,"P&amp;P";#N/A,#N/A,FALSE,"International";#N/A,#N/A,FALSE,"Controllable Costs"}</definedName>
    <definedName name="dffdds" localSheetId="7" hidden="1">{#N/A,#N/A,FALSE,"TITLE PAGE";#N/A,#N/A,FALSE,"Cash Flow";#N/A,#N/A,FALSE,"Cash Flow Detailed";#N/A,#N/A,FALSE,"EO summary IS";#N/A,#N/A,FALSE,"Op Income";#N/A,#N/A,FALSE,"Power ";#N/A,#N/A,FALSE,"GAS";#N/A,#N/A,FALSE,"MidstreamPage";#N/A,#N/A,FALSE,"P&amp;P";#N/A,#N/A,FALSE,"International";#N/A,#N/A,FALSE,"Controllable Costs"}</definedName>
    <definedName name="dffdds" localSheetId="8" hidden="1">{#N/A,#N/A,FALSE,"TITLE PAGE";#N/A,#N/A,FALSE,"Cash Flow";#N/A,#N/A,FALSE,"Cash Flow Detailed";#N/A,#N/A,FALSE,"EO summary IS";#N/A,#N/A,FALSE,"Op Income";#N/A,#N/A,FALSE,"Power ";#N/A,#N/A,FALSE,"GAS";#N/A,#N/A,FALSE,"MidstreamPage";#N/A,#N/A,FALSE,"P&amp;P";#N/A,#N/A,FALSE,"International";#N/A,#N/A,FALSE,"Controllable Costs"}</definedName>
    <definedName name="dffdds" localSheetId="9" hidden="1">{#N/A,#N/A,FALSE,"TITLE PAGE";#N/A,#N/A,FALSE,"Cash Flow";#N/A,#N/A,FALSE,"Cash Flow Detailed";#N/A,#N/A,FALSE,"EO summary IS";#N/A,#N/A,FALSE,"Op Income";#N/A,#N/A,FALSE,"Power ";#N/A,#N/A,FALSE,"GAS";#N/A,#N/A,FALSE,"MidstreamPage";#N/A,#N/A,FALSE,"P&amp;P";#N/A,#N/A,FALSE,"International";#N/A,#N/A,FALSE,"Controllable Costs"}</definedName>
    <definedName name="dffdds" localSheetId="10" hidden="1">{#N/A,#N/A,FALSE,"TITLE PAGE";#N/A,#N/A,FALSE,"Cash Flow";#N/A,#N/A,FALSE,"Cash Flow Detailed";#N/A,#N/A,FALSE,"EO summary IS";#N/A,#N/A,FALSE,"Op Income";#N/A,#N/A,FALSE,"Power ";#N/A,#N/A,FALSE,"GAS";#N/A,#N/A,FALSE,"MidstreamPage";#N/A,#N/A,FALSE,"P&amp;P";#N/A,#N/A,FALSE,"International";#N/A,#N/A,FALSE,"Controllable Costs"}</definedName>
    <definedName name="dffdds" localSheetId="11" hidden="1">{#N/A,#N/A,FALSE,"TITLE PAGE";#N/A,#N/A,FALSE,"Cash Flow";#N/A,#N/A,FALSE,"Cash Flow Detailed";#N/A,#N/A,FALSE,"EO summary IS";#N/A,#N/A,FALSE,"Op Income";#N/A,#N/A,FALSE,"Power ";#N/A,#N/A,FALSE,"GAS";#N/A,#N/A,FALSE,"MidstreamPage";#N/A,#N/A,FALSE,"P&amp;P";#N/A,#N/A,FALSE,"International";#N/A,#N/A,FALSE,"Controllable Costs"}</definedName>
    <definedName name="dffdds" hidden="1">{#N/A,#N/A,FALSE,"TITLE PAGE";#N/A,#N/A,FALSE,"Cash Flow";#N/A,#N/A,FALSE,"Cash Flow Detailed";#N/A,#N/A,FALSE,"EO summary IS";#N/A,#N/A,FALSE,"Op Income";#N/A,#N/A,FALSE,"Power ";#N/A,#N/A,FALSE,"GAS";#N/A,#N/A,FALSE,"MidstreamPage";#N/A,#N/A,FALSE,"P&amp;P";#N/A,#N/A,FALSE,"International";#N/A,#N/A,FALSE,"Controllable Costs"}</definedName>
    <definedName name="dorothy" localSheetId="13" hidden="1">{#N/A,#N/A,TRUE,"Consolidated";#N/A,#N/A,TRUE,"Admin";#N/A,#N/A,TRUE,"Express";#N/A,#N/A,TRUE,"Other";#N/A,#N/A,TRUE,"Platte";#N/A,#N/A,TRUE,"Cajun"}</definedName>
    <definedName name="dorothy" localSheetId="12" hidden="1">{#N/A,#N/A,TRUE,"Consolidated";#N/A,#N/A,TRUE,"Admin";#N/A,#N/A,TRUE,"Express";#N/A,#N/A,TRUE,"Other";#N/A,#N/A,TRUE,"Platte";#N/A,#N/A,TRUE,"Cajun"}</definedName>
    <definedName name="dorothy" localSheetId="0" hidden="1">{#N/A,#N/A,TRUE,"Consolidated";#N/A,#N/A,TRUE,"Admin";#N/A,#N/A,TRUE,"Express";#N/A,#N/A,TRUE,"Other";#N/A,#N/A,TRUE,"Platte";#N/A,#N/A,TRUE,"Cajun"}</definedName>
    <definedName name="dorothy" localSheetId="3" hidden="1">{#N/A,#N/A,TRUE,"Consolidated";#N/A,#N/A,TRUE,"Admin";#N/A,#N/A,TRUE,"Express";#N/A,#N/A,TRUE,"Other";#N/A,#N/A,TRUE,"Platte";#N/A,#N/A,TRUE,"Cajun"}</definedName>
    <definedName name="dorothy" localSheetId="4" hidden="1">{#N/A,#N/A,TRUE,"Consolidated";#N/A,#N/A,TRUE,"Admin";#N/A,#N/A,TRUE,"Express";#N/A,#N/A,TRUE,"Other";#N/A,#N/A,TRUE,"Platte";#N/A,#N/A,TRUE,"Cajun"}</definedName>
    <definedName name="dorothy" localSheetId="5" hidden="1">{#N/A,#N/A,TRUE,"Consolidated";#N/A,#N/A,TRUE,"Admin";#N/A,#N/A,TRUE,"Express";#N/A,#N/A,TRUE,"Other";#N/A,#N/A,TRUE,"Platte";#N/A,#N/A,TRUE,"Cajun"}</definedName>
    <definedName name="dorothy" localSheetId="6" hidden="1">{#N/A,#N/A,TRUE,"Consolidated";#N/A,#N/A,TRUE,"Admin";#N/A,#N/A,TRUE,"Express";#N/A,#N/A,TRUE,"Other";#N/A,#N/A,TRUE,"Platte";#N/A,#N/A,TRUE,"Cajun"}</definedName>
    <definedName name="dorothy" localSheetId="7" hidden="1">{#N/A,#N/A,TRUE,"Consolidated";#N/A,#N/A,TRUE,"Admin";#N/A,#N/A,TRUE,"Express";#N/A,#N/A,TRUE,"Other";#N/A,#N/A,TRUE,"Platte";#N/A,#N/A,TRUE,"Cajun"}</definedName>
    <definedName name="dorothy" localSheetId="8" hidden="1">{#N/A,#N/A,TRUE,"Consolidated";#N/A,#N/A,TRUE,"Admin";#N/A,#N/A,TRUE,"Express";#N/A,#N/A,TRUE,"Other";#N/A,#N/A,TRUE,"Platte";#N/A,#N/A,TRUE,"Cajun"}</definedName>
    <definedName name="dorothy" localSheetId="9" hidden="1">{#N/A,#N/A,TRUE,"Consolidated";#N/A,#N/A,TRUE,"Admin";#N/A,#N/A,TRUE,"Express";#N/A,#N/A,TRUE,"Other";#N/A,#N/A,TRUE,"Platte";#N/A,#N/A,TRUE,"Cajun"}</definedName>
    <definedName name="dorothy" localSheetId="10" hidden="1">{#N/A,#N/A,TRUE,"Consolidated";#N/A,#N/A,TRUE,"Admin";#N/A,#N/A,TRUE,"Express";#N/A,#N/A,TRUE,"Other";#N/A,#N/A,TRUE,"Platte";#N/A,#N/A,TRUE,"Cajun"}</definedName>
    <definedName name="dorothy" localSheetId="11" hidden="1">{#N/A,#N/A,TRUE,"Consolidated";#N/A,#N/A,TRUE,"Admin";#N/A,#N/A,TRUE,"Express";#N/A,#N/A,TRUE,"Other";#N/A,#N/A,TRUE,"Platte";#N/A,#N/A,TRUE,"Cajun"}</definedName>
    <definedName name="dorothy" hidden="1">{#N/A,#N/A,TRUE,"Consolidated";#N/A,#N/A,TRUE,"Admin";#N/A,#N/A,TRUE,"Express";#N/A,#N/A,TRUE,"Other";#N/A,#N/A,TRUE,"Platte";#N/A,#N/A,TRUE,"Cajun"}</definedName>
    <definedName name="dorothy2" hidden="1">{#N/A,#N/A,TRUE,"Consolidated";#N/A,#N/A,TRUE,"Admin";#N/A,#N/A,TRUE,"Express";#N/A,#N/A,TRUE,"Other";#N/A,#N/A,TRUE,"Platte";#N/A,#N/A,TRUE,"Cajun"}</definedName>
    <definedName name="Emp_Emerson">1023.342</definedName>
    <definedName name="Emp_NBJ">2637.693</definedName>
    <definedName name="feb">28</definedName>
    <definedName name="INPUT_Accum_2012_SEGM" localSheetId="13" hidden="1">{#N/A,#N/A,FALSE,"Title Page"}</definedName>
    <definedName name="INPUT_Accum_2012_SEGM" localSheetId="0" hidden="1">{#N/A,#N/A,FALSE,"Title Page"}</definedName>
    <definedName name="INPUT_Accum_2012_SEGM" hidden="1">{#N/A,#N/A,FALSE,"Title Page"}</definedName>
    <definedName name="leap_feb">29</definedName>
    <definedName name="leap_year">366</definedName>
    <definedName name="Lfeb">[1]Factors!$B$11</definedName>
    <definedName name="linda" localSheetId="13" hidden="1">{#N/A,#N/A,FALSE,"TITLE PAGE";#N/A,#N/A,FALSE,"Cash Flow";#N/A,#N/A,FALSE,"Cash Flow Detailed";#N/A,#N/A,FALSE,"EO summary IS";#N/A,#N/A,FALSE,"Op Income";#N/A,#N/A,FALSE,"Power ";#N/A,#N/A,FALSE,"GAS";#N/A,#N/A,FALSE,"MidstreamPage";#N/A,#N/A,FALSE,"P&amp;P";#N/A,#N/A,FALSE,"International";#N/A,#N/A,FALSE,"Controllable Costs"}</definedName>
    <definedName name="linda" localSheetId="12" hidden="1">{#N/A,#N/A,FALSE,"TITLE PAGE";#N/A,#N/A,FALSE,"Cash Flow";#N/A,#N/A,FALSE,"Cash Flow Detailed";#N/A,#N/A,FALSE,"EO summary IS";#N/A,#N/A,FALSE,"Op Income";#N/A,#N/A,FALSE,"Power ";#N/A,#N/A,FALSE,"GAS";#N/A,#N/A,FALSE,"MidstreamPage";#N/A,#N/A,FALSE,"P&amp;P";#N/A,#N/A,FALSE,"International";#N/A,#N/A,FALSE,"Controllable Costs"}</definedName>
    <definedName name="linda" localSheetId="0" hidden="1">{#N/A,#N/A,FALSE,"TITLE PAGE";#N/A,#N/A,FALSE,"Cash Flow";#N/A,#N/A,FALSE,"Cash Flow Detailed";#N/A,#N/A,FALSE,"EO summary IS";#N/A,#N/A,FALSE,"Op Income";#N/A,#N/A,FALSE,"Power ";#N/A,#N/A,FALSE,"GAS";#N/A,#N/A,FALSE,"MidstreamPage";#N/A,#N/A,FALSE,"P&amp;P";#N/A,#N/A,FALSE,"International";#N/A,#N/A,FALSE,"Controllable Costs"}</definedName>
    <definedName name="linda" localSheetId="3" hidden="1">{#N/A,#N/A,FALSE,"TITLE PAGE";#N/A,#N/A,FALSE,"Cash Flow";#N/A,#N/A,FALSE,"Cash Flow Detailed";#N/A,#N/A,FALSE,"EO summary IS";#N/A,#N/A,FALSE,"Op Income";#N/A,#N/A,FALSE,"Power ";#N/A,#N/A,FALSE,"GAS";#N/A,#N/A,FALSE,"MidstreamPage";#N/A,#N/A,FALSE,"P&amp;P";#N/A,#N/A,FALSE,"International";#N/A,#N/A,FALSE,"Controllable Costs"}</definedName>
    <definedName name="linda" localSheetId="4" hidden="1">{#N/A,#N/A,FALSE,"TITLE PAGE";#N/A,#N/A,FALSE,"Cash Flow";#N/A,#N/A,FALSE,"Cash Flow Detailed";#N/A,#N/A,FALSE,"EO summary IS";#N/A,#N/A,FALSE,"Op Income";#N/A,#N/A,FALSE,"Power ";#N/A,#N/A,FALSE,"GAS";#N/A,#N/A,FALSE,"MidstreamPage";#N/A,#N/A,FALSE,"P&amp;P";#N/A,#N/A,FALSE,"International";#N/A,#N/A,FALSE,"Controllable Costs"}</definedName>
    <definedName name="linda" localSheetId="5" hidden="1">{#N/A,#N/A,FALSE,"TITLE PAGE";#N/A,#N/A,FALSE,"Cash Flow";#N/A,#N/A,FALSE,"Cash Flow Detailed";#N/A,#N/A,FALSE,"EO summary IS";#N/A,#N/A,FALSE,"Op Income";#N/A,#N/A,FALSE,"Power ";#N/A,#N/A,FALSE,"GAS";#N/A,#N/A,FALSE,"MidstreamPage";#N/A,#N/A,FALSE,"P&amp;P";#N/A,#N/A,FALSE,"International";#N/A,#N/A,FALSE,"Controllable Costs"}</definedName>
    <definedName name="linda" localSheetId="6" hidden="1">{#N/A,#N/A,FALSE,"TITLE PAGE";#N/A,#N/A,FALSE,"Cash Flow";#N/A,#N/A,FALSE,"Cash Flow Detailed";#N/A,#N/A,FALSE,"EO summary IS";#N/A,#N/A,FALSE,"Op Income";#N/A,#N/A,FALSE,"Power ";#N/A,#N/A,FALSE,"GAS";#N/A,#N/A,FALSE,"MidstreamPage";#N/A,#N/A,FALSE,"P&amp;P";#N/A,#N/A,FALSE,"International";#N/A,#N/A,FALSE,"Controllable Costs"}</definedName>
    <definedName name="linda" localSheetId="7" hidden="1">{#N/A,#N/A,FALSE,"TITLE PAGE";#N/A,#N/A,FALSE,"Cash Flow";#N/A,#N/A,FALSE,"Cash Flow Detailed";#N/A,#N/A,FALSE,"EO summary IS";#N/A,#N/A,FALSE,"Op Income";#N/A,#N/A,FALSE,"Power ";#N/A,#N/A,FALSE,"GAS";#N/A,#N/A,FALSE,"MidstreamPage";#N/A,#N/A,FALSE,"P&amp;P";#N/A,#N/A,FALSE,"International";#N/A,#N/A,FALSE,"Controllable Costs"}</definedName>
    <definedName name="linda" localSheetId="8" hidden="1">{#N/A,#N/A,FALSE,"TITLE PAGE";#N/A,#N/A,FALSE,"Cash Flow";#N/A,#N/A,FALSE,"Cash Flow Detailed";#N/A,#N/A,FALSE,"EO summary IS";#N/A,#N/A,FALSE,"Op Income";#N/A,#N/A,FALSE,"Power ";#N/A,#N/A,FALSE,"GAS";#N/A,#N/A,FALSE,"MidstreamPage";#N/A,#N/A,FALSE,"P&amp;P";#N/A,#N/A,FALSE,"International";#N/A,#N/A,FALSE,"Controllable Costs"}</definedName>
    <definedName name="linda" localSheetId="9" hidden="1">{#N/A,#N/A,FALSE,"TITLE PAGE";#N/A,#N/A,FALSE,"Cash Flow";#N/A,#N/A,FALSE,"Cash Flow Detailed";#N/A,#N/A,FALSE,"EO summary IS";#N/A,#N/A,FALSE,"Op Income";#N/A,#N/A,FALSE,"Power ";#N/A,#N/A,FALSE,"GAS";#N/A,#N/A,FALSE,"MidstreamPage";#N/A,#N/A,FALSE,"P&amp;P";#N/A,#N/A,FALSE,"International";#N/A,#N/A,FALSE,"Controllable Costs"}</definedName>
    <definedName name="linda" localSheetId="10" hidden="1">{#N/A,#N/A,FALSE,"TITLE PAGE";#N/A,#N/A,FALSE,"Cash Flow";#N/A,#N/A,FALSE,"Cash Flow Detailed";#N/A,#N/A,FALSE,"EO summary IS";#N/A,#N/A,FALSE,"Op Income";#N/A,#N/A,FALSE,"Power ";#N/A,#N/A,FALSE,"GAS";#N/A,#N/A,FALSE,"MidstreamPage";#N/A,#N/A,FALSE,"P&amp;P";#N/A,#N/A,FALSE,"International";#N/A,#N/A,FALSE,"Controllable Costs"}</definedName>
    <definedName name="linda" localSheetId="11" hidden="1">{#N/A,#N/A,FALSE,"TITLE PAGE";#N/A,#N/A,FALSE,"Cash Flow";#N/A,#N/A,FALSE,"Cash Flow Detailed";#N/A,#N/A,FALSE,"EO summary IS";#N/A,#N/A,FALSE,"Op Income";#N/A,#N/A,FALSE,"Power ";#N/A,#N/A,FALSE,"GAS";#N/A,#N/A,FALSE,"MidstreamPage";#N/A,#N/A,FALSE,"P&amp;P";#N/A,#N/A,FALSE,"International";#N/A,#N/A,FALSE,"Controllable Costs"}</definedName>
    <definedName name="linda" hidden="1">{#N/A,#N/A,FALSE,"TITLE PAGE";#N/A,#N/A,FALSE,"Cash Flow";#N/A,#N/A,FALSE,"Cash Flow Detailed";#N/A,#N/A,FALSE,"EO summary IS";#N/A,#N/A,FALSE,"Op Income";#N/A,#N/A,FALSE,"Power ";#N/A,#N/A,FALSE,"GAS";#N/A,#N/A,FALSE,"MidstreamPage";#N/A,#N/A,FALSE,"P&amp;P";#N/A,#N/A,FALSE,"International";#N/A,#N/A,FALSE,"Controllable Costs"}</definedName>
    <definedName name="long_month">31</definedName>
    <definedName name="_xlnm.Print_Area" localSheetId="13">'2017 (Jul) SchedA'!$A$6:$F$120</definedName>
    <definedName name="_xlnm.Print_Area" localSheetId="14">'2017 (Jul) SchedB'!$A$1:$H$2011</definedName>
    <definedName name="_xlnm.Print_Area" localSheetId="1">'TBO 2015'!$A$1:$J$104</definedName>
    <definedName name="_xlnm.Print_Area" localSheetId="2">'TBO 2016'!$A$1:$J$103</definedName>
    <definedName name="_xlnm.Print_Titles" localSheetId="13">'2017 (Jul) SchedA'!$1:$5</definedName>
    <definedName name="_xlnm.Print_Titles" localSheetId="14">'2017 (Jul) SchedB'!$12:$15</definedName>
    <definedName name="short_month">30</definedName>
    <definedName name="Summary" localSheetId="13" hidden="1">{#N/A,#N/A,FALSE,"Title Page"}</definedName>
    <definedName name="Summary" localSheetId="12" hidden="1">{#N/A,#N/A,FALSE,"Title Page"}</definedName>
    <definedName name="Summary" localSheetId="0" hidden="1">{#N/A,#N/A,FALSE,"Title Page"}</definedName>
    <definedName name="Summary" localSheetId="3" hidden="1">{#N/A,#N/A,FALSE,"Title Page"}</definedName>
    <definedName name="Summary" localSheetId="4" hidden="1">{#N/A,#N/A,FALSE,"Title Page"}</definedName>
    <definedName name="Summary" localSheetId="5" hidden="1">{#N/A,#N/A,FALSE,"Title Page"}</definedName>
    <definedName name="Summary" localSheetId="6" hidden="1">{#N/A,#N/A,FALSE,"Title Page"}</definedName>
    <definedName name="Summary" localSheetId="7" hidden="1">{#N/A,#N/A,FALSE,"Title Page"}</definedName>
    <definedName name="Summary" localSheetId="8" hidden="1">{#N/A,#N/A,FALSE,"Title Page"}</definedName>
    <definedName name="Summary" localSheetId="9" hidden="1">{#N/A,#N/A,FALSE,"Title Page"}</definedName>
    <definedName name="Summary" localSheetId="10" hidden="1">{#N/A,#N/A,FALSE,"Title Page"}</definedName>
    <definedName name="Summary" localSheetId="11" hidden="1">{#N/A,#N/A,FALSE,"Title Page"}</definedName>
    <definedName name="Summary" hidden="1">{#N/A,#N/A,FALSE,"Title Page"}</definedName>
    <definedName name="summary1" localSheetId="13" hidden="1">{#N/A,#N/A,FALSE,"Title Page"}</definedName>
    <definedName name="summary1" localSheetId="12" hidden="1">{#N/A,#N/A,FALSE,"Title Page"}</definedName>
    <definedName name="summary1" localSheetId="0" hidden="1">{#N/A,#N/A,FALSE,"Title Page"}</definedName>
    <definedName name="summary1" localSheetId="3" hidden="1">{#N/A,#N/A,FALSE,"Title Page"}</definedName>
    <definedName name="summary1" localSheetId="4" hidden="1">{#N/A,#N/A,FALSE,"Title Page"}</definedName>
    <definedName name="summary1" localSheetId="5" hidden="1">{#N/A,#N/A,FALSE,"Title Page"}</definedName>
    <definedName name="summary1" localSheetId="6" hidden="1">{#N/A,#N/A,FALSE,"Title Page"}</definedName>
    <definedName name="summary1" localSheetId="7" hidden="1">{#N/A,#N/A,FALSE,"Title Page"}</definedName>
    <definedName name="summary1" localSheetId="8" hidden="1">{#N/A,#N/A,FALSE,"Title Page"}</definedName>
    <definedName name="summary1" localSheetId="9" hidden="1">{#N/A,#N/A,FALSE,"Title Page"}</definedName>
    <definedName name="summary1" localSheetId="10" hidden="1">{#N/A,#N/A,FALSE,"Title Page"}</definedName>
    <definedName name="summary1" localSheetId="11" hidden="1">{#N/A,#N/A,FALSE,"Title Page"}</definedName>
    <definedName name="summary1" hidden="1">{#N/A,#N/A,FALSE,"Title Page"}</definedName>
    <definedName name="summary19" localSheetId="13" hidden="1">{#N/A,#N/A,FALSE,"Title Page"}</definedName>
    <definedName name="summary19" localSheetId="12" hidden="1">{#N/A,#N/A,FALSE,"Title Page"}</definedName>
    <definedName name="summary19" localSheetId="0" hidden="1">{#N/A,#N/A,FALSE,"Title Page"}</definedName>
    <definedName name="summary19" localSheetId="3" hidden="1">{#N/A,#N/A,FALSE,"Title Page"}</definedName>
    <definedName name="summary19" localSheetId="4" hidden="1">{#N/A,#N/A,FALSE,"Title Page"}</definedName>
    <definedName name="summary19" localSheetId="5" hidden="1">{#N/A,#N/A,FALSE,"Title Page"}</definedName>
    <definedName name="summary19" localSheetId="6" hidden="1">{#N/A,#N/A,FALSE,"Title Page"}</definedName>
    <definedName name="summary19" localSheetId="7" hidden="1">{#N/A,#N/A,FALSE,"Title Page"}</definedName>
    <definedName name="summary19" localSheetId="8" hidden="1">{#N/A,#N/A,FALSE,"Title Page"}</definedName>
    <definedName name="summary19" localSheetId="9" hidden="1">{#N/A,#N/A,FALSE,"Title Page"}</definedName>
    <definedName name="summary19" localSheetId="10" hidden="1">{#N/A,#N/A,FALSE,"Title Page"}</definedName>
    <definedName name="summary19" localSheetId="11" hidden="1">{#N/A,#N/A,FALSE,"Title Page"}</definedName>
    <definedName name="summary19" hidden="1">{#N/A,#N/A,FALSE,"Title Page"}</definedName>
    <definedName name="Summary2" localSheetId="13" hidden="1">{#N/A,#N/A,FALSE,"Summary";#N/A,#N/A,FALSE,"Prices at Selected Stations"}</definedName>
    <definedName name="Summary2" hidden="1">{#N/A,#N/A,FALSE,"Summary";#N/A,#N/A,FALSE,"Prices at Selected Stations"}</definedName>
    <definedName name="SummarySelected" localSheetId="13" hidden="1">{#N/A,#N/A,FALSE,"Summary";#N/A,#N/A,FALSE,"Prices at Selected Stations"}</definedName>
    <definedName name="SummarySelected" hidden="1">{#N/A,#N/A,FALSE,"Summary";#N/A,#N/A,FALSE,"Prices at Selected Stations"}</definedName>
    <definedName name="TableName">"Dummy"</definedName>
    <definedName name="TAX">0.34119</definedName>
    <definedName name="TB_ShortCut">55.97</definedName>
    <definedName name="Throughput">924010</definedName>
    <definedName name="TM1REBUILDOPTION">1</definedName>
    <definedName name="Unknown1" hidden="1">{#N/A,#N/A,FALSE,"TITLE PAGE";#N/A,#N/A,FALSE,"Cash Flow";#N/A,#N/A,FALSE,"Cash Flow Detailed";#N/A,#N/A,FALSE,"EO summary IS";#N/A,#N/A,FALSE,"Op Income";#N/A,#N/A,FALSE,"Power ";#N/A,#N/A,FALSE,"GAS";#N/A,#N/A,FALSE,"MidstreamPage";#N/A,#N/A,FALSE,"P&amp;P";#N/A,#N/A,FALSE,"International";#N/A,#N/A,FALSE,"Controllable Costs"}</definedName>
    <definedName name="wrn.96grasec2." localSheetId="13" hidden="1">{#N/A,#N/A,FALSE,"Schedule 2.2";#N/A,#N/A,FALSE,"Schedule 2.2.1";#N/A,#N/A,FALSE,"Schedule 2.6";#N/A,#N/A,FALSE,"Schedule 2.5";#N/A,#N/A,FALSE,"Schedule 2.7";#N/A,#N/A,FALSE,"Schedule 2.8";#N/A,#N/A,FALSE,"Schedule 2.12 &amp; 2.12.1";#N/A,#N/A,FALSE,"Schedule 2.12.2";#N/A,#N/A,FALSE,"Schedule 2.9"}</definedName>
    <definedName name="wrn.96grasec2." hidden="1">{#N/A,#N/A,FALSE,"Schedule 2.2";#N/A,#N/A,FALSE,"Schedule 2.2.1";#N/A,#N/A,FALSE,"Schedule 2.6";#N/A,#N/A,FALSE,"Schedule 2.5";#N/A,#N/A,FALSE,"Schedule 2.7";#N/A,#N/A,FALSE,"Schedule 2.8";#N/A,#N/A,FALSE,"Schedule 2.12 &amp; 2.12.1";#N/A,#N/A,FALSE,"Schedule 2.12.2";#N/A,#N/A,FALSE,"Schedule 2.9"}</definedName>
    <definedName name="wrn.96grasec3." localSheetId="13" hidden="1">{#N/A,#N/A,FALSE,"Schedule 3.1";#N/A,#N/A,FALSE,"Schedule 3.2";#N/A,#N/A,FALSE,"Schedule 3.3 -p1";#N/A,#N/A,FALSE,"Schedule 3.3 p2-4";#N/A,#N/A,FALSE,"Schedule 3.3.1";#N/A,#N/A,FALSE,"Schedule 3.3.2";#N/A,#N/A,FALSE,"Schedule 3.4";#N/A,#N/A,FALSE,"Schedule 3.6"}</definedName>
    <definedName name="wrn.96grasec3." hidden="1">{#N/A,#N/A,FALSE,"Schedule 3.1";#N/A,#N/A,FALSE,"Schedule 3.2";#N/A,#N/A,FALSE,"Schedule 3.3 -p1";#N/A,#N/A,FALSE,"Schedule 3.3 p2-4";#N/A,#N/A,FALSE,"Schedule 3.3.1";#N/A,#N/A,FALSE,"Schedule 3.3.2";#N/A,#N/A,FALSE,"Schedule 3.4";#N/A,#N/A,FALSE,"Schedule 3.6"}</definedName>
    <definedName name="wrn.96grasec4." localSheetId="13" hidden="1">{#N/A,#N/A,FALSE,"Schedule 4.2";#N/A,#N/A,FALSE,"Schedule 4.4";#N/A,#N/A,FALSE,"Schedule 4.7.1";#N/A,#N/A,FALSE,"Schedule 4.7.2";#N/A,#N/A,FALSE,"Schedule 4.9"}</definedName>
    <definedName name="wrn.96grasec4." hidden="1">{#N/A,#N/A,FALSE,"Schedule 4.2";#N/A,#N/A,FALSE,"Schedule 4.4";#N/A,#N/A,FALSE,"Schedule 4.7.1";#N/A,#N/A,FALSE,"Schedule 4.7.2";#N/A,#N/A,FALSE,"Schedule 4.9"}</definedName>
    <definedName name="wrn.96grasec5." localSheetId="13" hidden="1">{#N/A,#N/A,FALSE,"Schedule 5.2 Reg";#N/A,#N/A,FALSE,"Schedule 5.2";#N/A,#N/A,FALSE,"Schedule 5.3 Reg";#N/A,#N/A,FALSE,"Schedule 5.3";#N/A,#N/A,FALSE,"Schedule 5.4 Reg";#N/A,#N/A,FALSE,"Schedule 5.4"}</definedName>
    <definedName name="wrn.96grasec5." hidden="1">{#N/A,#N/A,FALSE,"Schedule 5.2 Reg";#N/A,#N/A,FALSE,"Schedule 5.2";#N/A,#N/A,FALSE,"Schedule 5.3 Reg";#N/A,#N/A,FALSE,"Schedule 5.3";#N/A,#N/A,FALSE,"Schedule 5.4 Reg";#N/A,#N/A,FALSE,"Schedule 5.4"}</definedName>
    <definedName name="wrn.EM._.BUSINESS._.UNIT._.EXEC._.SUMMARY." localSheetId="13"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12"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0"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3"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4"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5"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6"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7"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8"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9"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10"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11"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hidden="1">{#N/A,#N/A,FALSE,"TITLE PAGE";#N/A,#N/A,FALSE,"Cash Flow";#N/A,#N/A,FALSE,"Cash Flow Detailed";#N/A,#N/A,FALSE,"EO summary IS";#N/A,#N/A,FALSE,"Op Income";#N/A,#N/A,FALSE,"Power ";#N/A,#N/A,FALSE,"GAS";#N/A,#N/A,FALSE,"MidstreamPage";#N/A,#N/A,FALSE,"P&amp;P";#N/A,#N/A,FALSE,"International";#N/A,#N/A,FALSE,"Controllable Costs"}</definedName>
    <definedName name="wrn.EO._.Report._.2000." localSheetId="13"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12"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0"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3"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4"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5"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6"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7"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8"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9"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10"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11"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xec._.Report." localSheetId="13" hidden="1">{#N/A,#N/A,TRUE,"Consolidated";#N/A,#N/A,TRUE,"Admin";#N/A,#N/A,TRUE,"Express";#N/A,#N/A,TRUE,"Other";#N/A,#N/A,TRUE,"Platte";#N/A,#N/A,TRUE,"Cajun"}</definedName>
    <definedName name="wrn.Exec._.Report." localSheetId="12" hidden="1">{#N/A,#N/A,TRUE,"Consolidated";#N/A,#N/A,TRUE,"Admin";#N/A,#N/A,TRUE,"Express";#N/A,#N/A,TRUE,"Other";#N/A,#N/A,TRUE,"Platte";#N/A,#N/A,TRUE,"Cajun"}</definedName>
    <definedName name="wrn.Exec._.Report." localSheetId="0" hidden="1">{#N/A,#N/A,TRUE,"Consolidated";#N/A,#N/A,TRUE,"Admin";#N/A,#N/A,TRUE,"Express";#N/A,#N/A,TRUE,"Other";#N/A,#N/A,TRUE,"Platte";#N/A,#N/A,TRUE,"Cajun"}</definedName>
    <definedName name="wrn.Exec._.Report." localSheetId="3" hidden="1">{#N/A,#N/A,TRUE,"Consolidated";#N/A,#N/A,TRUE,"Admin";#N/A,#N/A,TRUE,"Express";#N/A,#N/A,TRUE,"Other";#N/A,#N/A,TRUE,"Platte";#N/A,#N/A,TRUE,"Cajun"}</definedName>
    <definedName name="wrn.Exec._.Report." localSheetId="4" hidden="1">{#N/A,#N/A,TRUE,"Consolidated";#N/A,#N/A,TRUE,"Admin";#N/A,#N/A,TRUE,"Express";#N/A,#N/A,TRUE,"Other";#N/A,#N/A,TRUE,"Platte";#N/A,#N/A,TRUE,"Cajun"}</definedName>
    <definedName name="wrn.Exec._.Report." localSheetId="5" hidden="1">{#N/A,#N/A,TRUE,"Consolidated";#N/A,#N/A,TRUE,"Admin";#N/A,#N/A,TRUE,"Express";#N/A,#N/A,TRUE,"Other";#N/A,#N/A,TRUE,"Platte";#N/A,#N/A,TRUE,"Cajun"}</definedName>
    <definedName name="wrn.Exec._.Report." localSheetId="6" hidden="1">{#N/A,#N/A,TRUE,"Consolidated";#N/A,#N/A,TRUE,"Admin";#N/A,#N/A,TRUE,"Express";#N/A,#N/A,TRUE,"Other";#N/A,#N/A,TRUE,"Platte";#N/A,#N/A,TRUE,"Cajun"}</definedName>
    <definedName name="wrn.Exec._.Report." localSheetId="7" hidden="1">{#N/A,#N/A,TRUE,"Consolidated";#N/A,#N/A,TRUE,"Admin";#N/A,#N/A,TRUE,"Express";#N/A,#N/A,TRUE,"Other";#N/A,#N/A,TRUE,"Platte";#N/A,#N/A,TRUE,"Cajun"}</definedName>
    <definedName name="wrn.Exec._.Report." localSheetId="8" hidden="1">{#N/A,#N/A,TRUE,"Consolidated";#N/A,#N/A,TRUE,"Admin";#N/A,#N/A,TRUE,"Express";#N/A,#N/A,TRUE,"Other";#N/A,#N/A,TRUE,"Platte";#N/A,#N/A,TRUE,"Cajun"}</definedName>
    <definedName name="wrn.Exec._.Report." localSheetId="9" hidden="1">{#N/A,#N/A,TRUE,"Consolidated";#N/A,#N/A,TRUE,"Admin";#N/A,#N/A,TRUE,"Express";#N/A,#N/A,TRUE,"Other";#N/A,#N/A,TRUE,"Platte";#N/A,#N/A,TRUE,"Cajun"}</definedName>
    <definedName name="wrn.Exec._.Report." localSheetId="10" hidden="1">{#N/A,#N/A,TRUE,"Consolidated";#N/A,#N/A,TRUE,"Admin";#N/A,#N/A,TRUE,"Express";#N/A,#N/A,TRUE,"Other";#N/A,#N/A,TRUE,"Platte";#N/A,#N/A,TRUE,"Cajun"}</definedName>
    <definedName name="wrn.Exec._.Report." localSheetId="11" hidden="1">{#N/A,#N/A,TRUE,"Consolidated";#N/A,#N/A,TRUE,"Admin";#N/A,#N/A,TRUE,"Express";#N/A,#N/A,TRUE,"Other";#N/A,#N/A,TRUE,"Platte";#N/A,#N/A,TRUE,"Cajun"}</definedName>
    <definedName name="wrn.Exec._.Report." hidden="1">{#N/A,#N/A,TRUE,"Consolidated";#N/A,#N/A,TRUE,"Admin";#N/A,#N/A,TRUE,"Express";#N/A,#N/A,TRUE,"Other";#N/A,#N/A,TRUE,"Platte";#N/A,#N/A,TRUE,"Cajun"}</definedName>
    <definedName name="wrn.Gas._.Report." localSheetId="13" hidden="1">{#N/A,#N/A,TRUE,"Gas EO Rpt Page1";#N/A,#N/A,TRUE,"Gas EO Rpt Page 1A";#N/A,#N/A,TRUE,"Gas EO Rpt Page 1B";#N/A,#N/A,TRUE,"Gas EO Rpt Page2";#N/A,#N/A,TRUE,"Comments"}</definedName>
    <definedName name="wrn.Gas._.Report." localSheetId="12" hidden="1">{#N/A,#N/A,TRUE,"Gas EO Rpt Page1";#N/A,#N/A,TRUE,"Gas EO Rpt Page 1A";#N/A,#N/A,TRUE,"Gas EO Rpt Page 1B";#N/A,#N/A,TRUE,"Gas EO Rpt Page2";#N/A,#N/A,TRUE,"Comments"}</definedName>
    <definedName name="wrn.Gas._.Report." localSheetId="0" hidden="1">{#N/A,#N/A,TRUE,"Gas EO Rpt Page1";#N/A,#N/A,TRUE,"Gas EO Rpt Page 1A";#N/A,#N/A,TRUE,"Gas EO Rpt Page 1B";#N/A,#N/A,TRUE,"Gas EO Rpt Page2";#N/A,#N/A,TRUE,"Comments"}</definedName>
    <definedName name="wrn.Gas._.Report." localSheetId="3" hidden="1">{#N/A,#N/A,TRUE,"Gas EO Rpt Page1";#N/A,#N/A,TRUE,"Gas EO Rpt Page 1A";#N/A,#N/A,TRUE,"Gas EO Rpt Page 1B";#N/A,#N/A,TRUE,"Gas EO Rpt Page2";#N/A,#N/A,TRUE,"Comments"}</definedName>
    <definedName name="wrn.Gas._.Report." localSheetId="4" hidden="1">{#N/A,#N/A,TRUE,"Gas EO Rpt Page1";#N/A,#N/A,TRUE,"Gas EO Rpt Page 1A";#N/A,#N/A,TRUE,"Gas EO Rpt Page 1B";#N/A,#N/A,TRUE,"Gas EO Rpt Page2";#N/A,#N/A,TRUE,"Comments"}</definedName>
    <definedName name="wrn.Gas._.Report." localSheetId="5" hidden="1">{#N/A,#N/A,TRUE,"Gas EO Rpt Page1";#N/A,#N/A,TRUE,"Gas EO Rpt Page 1A";#N/A,#N/A,TRUE,"Gas EO Rpt Page 1B";#N/A,#N/A,TRUE,"Gas EO Rpt Page2";#N/A,#N/A,TRUE,"Comments"}</definedName>
    <definedName name="wrn.Gas._.Report." localSheetId="6" hidden="1">{#N/A,#N/A,TRUE,"Gas EO Rpt Page1";#N/A,#N/A,TRUE,"Gas EO Rpt Page 1A";#N/A,#N/A,TRUE,"Gas EO Rpt Page 1B";#N/A,#N/A,TRUE,"Gas EO Rpt Page2";#N/A,#N/A,TRUE,"Comments"}</definedName>
    <definedName name="wrn.Gas._.Report." localSheetId="7" hidden="1">{#N/A,#N/A,TRUE,"Gas EO Rpt Page1";#N/A,#N/A,TRUE,"Gas EO Rpt Page 1A";#N/A,#N/A,TRUE,"Gas EO Rpt Page 1B";#N/A,#N/A,TRUE,"Gas EO Rpt Page2";#N/A,#N/A,TRUE,"Comments"}</definedName>
    <definedName name="wrn.Gas._.Report." localSheetId="8" hidden="1">{#N/A,#N/A,TRUE,"Gas EO Rpt Page1";#N/A,#N/A,TRUE,"Gas EO Rpt Page 1A";#N/A,#N/A,TRUE,"Gas EO Rpt Page 1B";#N/A,#N/A,TRUE,"Gas EO Rpt Page2";#N/A,#N/A,TRUE,"Comments"}</definedName>
    <definedName name="wrn.Gas._.Report." localSheetId="9" hidden="1">{#N/A,#N/A,TRUE,"Gas EO Rpt Page1";#N/A,#N/A,TRUE,"Gas EO Rpt Page 1A";#N/A,#N/A,TRUE,"Gas EO Rpt Page 1B";#N/A,#N/A,TRUE,"Gas EO Rpt Page2";#N/A,#N/A,TRUE,"Comments"}</definedName>
    <definedName name="wrn.Gas._.Report." localSheetId="10" hidden="1">{#N/A,#N/A,TRUE,"Gas EO Rpt Page1";#N/A,#N/A,TRUE,"Gas EO Rpt Page 1A";#N/A,#N/A,TRUE,"Gas EO Rpt Page 1B";#N/A,#N/A,TRUE,"Gas EO Rpt Page2";#N/A,#N/A,TRUE,"Comments"}</definedName>
    <definedName name="wrn.Gas._.Report." localSheetId="11" hidden="1">{#N/A,#N/A,TRUE,"Gas EO Rpt Page1";#N/A,#N/A,TRUE,"Gas EO Rpt Page 1A";#N/A,#N/A,TRUE,"Gas EO Rpt Page 1B";#N/A,#N/A,TRUE,"Gas EO Rpt Page2";#N/A,#N/A,TRUE,"Comments"}</definedName>
    <definedName name="wrn.Gas._.Report." hidden="1">{#N/A,#N/A,TRUE,"Gas EO Rpt Page1";#N/A,#N/A,TRUE,"Gas EO Rpt Page 1A";#N/A,#N/A,TRUE,"Gas EO Rpt Page 1B";#N/A,#N/A,TRUE,"Gas EO Rpt Page2";#N/A,#N/A,TRUE,"Comments"}</definedName>
    <definedName name="wrn.Summary." localSheetId="13" hidden="1">{#N/A,#N/A,TRUE,"Input";#N/A,#N/A,TRUE,"Revenue Requirement (2)";#N/A,#N/A,TRUE,"Service Prices";#N/A,#N/A,TRUE,"Summary (2)";#N/A,#N/A,TRUE,"Prices at Selected Stations"}</definedName>
    <definedName name="wrn.Summary." hidden="1">{#N/A,#N/A,TRUE,"Input";#N/A,#N/A,TRUE,"Revenue Requirement (2)";#N/A,#N/A,TRUE,"Service Prices";#N/A,#N/A,TRUE,"Summary (2)";#N/A,#N/A,TRUE,"Prices at Selected Stations"}</definedName>
    <definedName name="wrn.Title._.Page." localSheetId="13" hidden="1">{#N/A,#N/A,FALSE,"Title Page"}</definedName>
    <definedName name="wrn.Title._.Page." localSheetId="12" hidden="1">{#N/A,#N/A,FALSE,"Title Page"}</definedName>
    <definedName name="wrn.Title._.Page." localSheetId="0" hidden="1">{#N/A,#N/A,FALSE,"Title Page"}</definedName>
    <definedName name="wrn.Title._.Page." localSheetId="3" hidden="1">{#N/A,#N/A,FALSE,"Title Page"}</definedName>
    <definedName name="wrn.Title._.Page." localSheetId="4" hidden="1">{#N/A,#N/A,FALSE,"Title Page"}</definedName>
    <definedName name="wrn.Title._.Page." localSheetId="5" hidden="1">{#N/A,#N/A,FALSE,"Title Page"}</definedName>
    <definedName name="wrn.Title._.Page." localSheetId="6" hidden="1">{#N/A,#N/A,FALSE,"Title Page"}</definedName>
    <definedName name="wrn.Title._.Page." localSheetId="7" hidden="1">{#N/A,#N/A,FALSE,"Title Page"}</definedName>
    <definedName name="wrn.Title._.Page." localSheetId="8" hidden="1">{#N/A,#N/A,FALSE,"Title Page"}</definedName>
    <definedName name="wrn.Title._.Page." localSheetId="9" hidden="1">{#N/A,#N/A,FALSE,"Title Page"}</definedName>
    <definedName name="wrn.Title._.Page." localSheetId="10" hidden="1">{#N/A,#N/A,FALSE,"Title Page"}</definedName>
    <definedName name="wrn.Title._.Page." localSheetId="11" hidden="1">{#N/A,#N/A,FALSE,"Title Page"}</definedName>
    <definedName name="wrn.Title._.Page." hidden="1">{#N/A,#N/A,FALSE,"Title Page"}</definedName>
  </definedNames>
  <calcPr calcId="171027" iterate="1"/>
</workbook>
</file>

<file path=xl/calcChain.xml><?xml version="1.0" encoding="utf-8"?>
<calcChain xmlns="http://schemas.openxmlformats.org/spreadsheetml/2006/main">
  <c r="D77" i="59" l="1"/>
  <c r="D29" i="19"/>
  <c r="I17" i="59"/>
  <c r="I19" i="59"/>
  <c r="I22" i="59"/>
  <c r="I20" i="59"/>
  <c r="F21" i="59"/>
  <c r="I21" i="59"/>
  <c r="I25" i="59"/>
  <c r="F26" i="59"/>
  <c r="I26" i="59"/>
  <c r="K26" i="59"/>
  <c r="I27" i="59"/>
  <c r="F28" i="59"/>
  <c r="I28" i="59"/>
  <c r="K28" i="59"/>
  <c r="I31" i="59"/>
  <c r="F32" i="59"/>
  <c r="I32" i="59"/>
  <c r="F36" i="59"/>
  <c r="I36" i="59"/>
  <c r="K36" i="59"/>
  <c r="I37" i="59"/>
  <c r="F38" i="59"/>
  <c r="I38" i="59"/>
  <c r="K38" i="59"/>
  <c r="I41" i="59"/>
  <c r="F42" i="59"/>
  <c r="I42" i="59"/>
  <c r="I47" i="59"/>
  <c r="I48" i="59"/>
  <c r="I49" i="59"/>
  <c r="K49" i="59"/>
  <c r="I52" i="59"/>
  <c r="F53" i="59"/>
  <c r="I53" i="59"/>
  <c r="D58" i="59"/>
  <c r="D69" i="59"/>
  <c r="F69" i="59"/>
  <c r="I69" i="59"/>
  <c r="I71" i="59"/>
  <c r="D70" i="59"/>
  <c r="I70" i="59"/>
  <c r="D73" i="59"/>
  <c r="F73" i="59"/>
  <c r="I75" i="59"/>
  <c r="I77" i="59"/>
  <c r="D79" i="59"/>
  <c r="F79" i="59"/>
  <c r="D80" i="59"/>
  <c r="I80" i="59"/>
  <c r="F80" i="59"/>
  <c r="I93" i="59"/>
  <c r="A19" i="59"/>
  <c r="A20" i="59"/>
  <c r="A21" i="59"/>
  <c r="A22" i="59"/>
  <c r="A25" i="59"/>
  <c r="A26" i="59"/>
  <c r="A27" i="59"/>
  <c r="A28" i="59"/>
  <c r="A29" i="59"/>
  <c r="A31" i="59"/>
  <c r="A32" i="59"/>
  <c r="A33" i="59"/>
  <c r="A36" i="59"/>
  <c r="A37" i="59"/>
  <c r="A38" i="59"/>
  <c r="A39" i="59"/>
  <c r="A41" i="59"/>
  <c r="A42" i="59"/>
  <c r="A43" i="59"/>
  <c r="A47" i="59"/>
  <c r="A48" i="59"/>
  <c r="A49" i="59"/>
  <c r="A50" i="59"/>
  <c r="A52" i="59"/>
  <c r="A53" i="59"/>
  <c r="A54" i="59"/>
  <c r="A56" i="59"/>
  <c r="A58" i="59"/>
  <c r="A60" i="59"/>
  <c r="A62" i="59"/>
  <c r="A64" i="59"/>
  <c r="A69" i="59"/>
  <c r="A70" i="59"/>
  <c r="A71" i="59"/>
  <c r="A73" i="59"/>
  <c r="I17" i="58"/>
  <c r="I19" i="58"/>
  <c r="I20" i="58"/>
  <c r="F21" i="58"/>
  <c r="I21" i="58"/>
  <c r="I25" i="58"/>
  <c r="I26" i="58"/>
  <c r="I27" i="58"/>
  <c r="F28" i="58"/>
  <c r="I28" i="58"/>
  <c r="K28" i="58"/>
  <c r="I31" i="58"/>
  <c r="F32" i="58"/>
  <c r="I32" i="58"/>
  <c r="I36" i="58"/>
  <c r="I39" i="58"/>
  <c r="I37" i="58"/>
  <c r="F38" i="58"/>
  <c r="I38" i="58"/>
  <c r="K38" i="58"/>
  <c r="I41" i="58"/>
  <c r="F42" i="58"/>
  <c r="I42" i="58"/>
  <c r="I46" i="58"/>
  <c r="F47" i="58"/>
  <c r="I47" i="58"/>
  <c r="K47" i="58"/>
  <c r="I48" i="58"/>
  <c r="K48" i="58"/>
  <c r="I51" i="58"/>
  <c r="F52" i="58"/>
  <c r="I52" i="58"/>
  <c r="D58" i="58"/>
  <c r="F69" i="58"/>
  <c r="I69" i="58"/>
  <c r="I72" i="58"/>
  <c r="I82" i="58"/>
  <c r="I88" i="58"/>
  <c r="I70" i="58"/>
  <c r="I71" i="58"/>
  <c r="F74" i="58"/>
  <c r="I74" i="58"/>
  <c r="I76" i="58"/>
  <c r="I78" i="58"/>
  <c r="F80" i="58"/>
  <c r="I80" i="58"/>
  <c r="I98" i="58"/>
  <c r="A49" i="58"/>
  <c r="A51" i="58"/>
  <c r="A52" i="58"/>
  <c r="A53" i="58"/>
  <c r="A56" i="58"/>
  <c r="A58" i="58"/>
  <c r="A60" i="58"/>
  <c r="A62" i="58"/>
  <c r="A64" i="58"/>
  <c r="A69" i="58"/>
  <c r="A70" i="58"/>
  <c r="A19" i="58"/>
  <c r="A20" i="58"/>
  <c r="A21" i="58"/>
  <c r="A22" i="58"/>
  <c r="A25" i="58"/>
  <c r="A26" i="58"/>
  <c r="A27" i="58"/>
  <c r="A28" i="58"/>
  <c r="A29" i="58"/>
  <c r="A31" i="58"/>
  <c r="A32" i="58"/>
  <c r="A33" i="58"/>
  <c r="A36" i="58"/>
  <c r="A37" i="58"/>
  <c r="A38" i="58"/>
  <c r="A39" i="58"/>
  <c r="A41" i="58"/>
  <c r="A42" i="58"/>
  <c r="A43" i="58"/>
  <c r="A46" i="58"/>
  <c r="A47" i="58"/>
  <c r="G6" i="28"/>
  <c r="G7" i="28" s="1"/>
  <c r="I6" i="28"/>
  <c r="I7" i="28" s="1"/>
  <c r="I8" i="28" s="1"/>
  <c r="D129" i="21" s="1"/>
  <c r="H6" i="28"/>
  <c r="H7" i="28" s="1"/>
  <c r="F137" i="26"/>
  <c r="D122" i="26"/>
  <c r="F136" i="26"/>
  <c r="E8" i="28"/>
  <c r="L6" i="28"/>
  <c r="L8" i="28"/>
  <c r="D18" i="24"/>
  <c r="D18" i="23"/>
  <c r="D123" i="23" s="1"/>
  <c r="D18" i="22"/>
  <c r="D18" i="21"/>
  <c r="D18" i="20"/>
  <c r="D18" i="19"/>
  <c r="F36" i="28"/>
  <c r="F15" i="28"/>
  <c r="G16" i="28"/>
  <c r="F31" i="28"/>
  <c r="G31" i="28"/>
  <c r="F35" i="28"/>
  <c r="F14" i="28"/>
  <c r="L16" i="28"/>
  <c r="D136" i="25" s="1"/>
  <c r="F13" i="28"/>
  <c r="C29" i="26"/>
  <c r="E30" i="51"/>
  <c r="F30" i="51"/>
  <c r="F59" i="51" s="1"/>
  <c r="D12" i="51"/>
  <c r="E12" i="51"/>
  <c r="F12" i="51"/>
  <c r="D17" i="51"/>
  <c r="E17" i="51"/>
  <c r="F17" i="51"/>
  <c r="G17" i="51"/>
  <c r="C30" i="51"/>
  <c r="C54" i="51" s="1"/>
  <c r="D30" i="51"/>
  <c r="G30" i="51"/>
  <c r="H30" i="51"/>
  <c r="C37" i="51"/>
  <c r="C38" i="51" s="1"/>
  <c r="D37" i="51"/>
  <c r="D38" i="51"/>
  <c r="E37" i="51"/>
  <c r="E38" i="51"/>
  <c r="F37" i="51"/>
  <c r="G37" i="51"/>
  <c r="G38" i="51" s="1"/>
  <c r="H37" i="51"/>
  <c r="H38" i="51"/>
  <c r="I37" i="51"/>
  <c r="I38" i="51"/>
  <c r="F38" i="51"/>
  <c r="C41" i="51"/>
  <c r="C44" i="51" s="1"/>
  <c r="D41" i="51"/>
  <c r="C42" i="51"/>
  <c r="D42" i="51"/>
  <c r="E42" i="51"/>
  <c r="F42" i="51"/>
  <c r="G42" i="51"/>
  <c r="H42" i="51"/>
  <c r="C43" i="51"/>
  <c r="C217" i="51"/>
  <c r="A123" i="51"/>
  <c r="A124" i="51"/>
  <c r="A125" i="51"/>
  <c r="A126" i="51"/>
  <c r="A127" i="51"/>
  <c r="A128" i="51"/>
  <c r="D54" i="51"/>
  <c r="A129" i="51"/>
  <c r="A130" i="51"/>
  <c r="A131" i="51"/>
  <c r="A132" i="51"/>
  <c r="A133" i="51"/>
  <c r="A134" i="51"/>
  <c r="A135" i="51"/>
  <c r="A136" i="51"/>
  <c r="A137" i="51"/>
  <c r="A138" i="51"/>
  <c r="A139" i="51"/>
  <c r="A140" i="51"/>
  <c r="A141" i="51"/>
  <c r="A142" i="51"/>
  <c r="A143" i="51"/>
  <c r="A144" i="51"/>
  <c r="A145" i="51"/>
  <c r="A146" i="51"/>
  <c r="A147" i="51"/>
  <c r="A148" i="51"/>
  <c r="A149" i="51"/>
  <c r="A150" i="51"/>
  <c r="A151" i="51"/>
  <c r="A152" i="51"/>
  <c r="A153" i="51"/>
  <c r="A154" i="51"/>
  <c r="A155" i="51"/>
  <c r="A156" i="51"/>
  <c r="A157" i="51"/>
  <c r="A158" i="51"/>
  <c r="A159" i="51"/>
  <c r="A160" i="51"/>
  <c r="A161" i="51"/>
  <c r="A162" i="51"/>
  <c r="A163" i="51"/>
  <c r="A164" i="51"/>
  <c r="A165" i="51"/>
  <c r="A166" i="51"/>
  <c r="A167" i="51"/>
  <c r="A168" i="51"/>
  <c r="A169" i="51"/>
  <c r="A170" i="51"/>
  <c r="A171" i="51"/>
  <c r="A172" i="51"/>
  <c r="A173" i="51"/>
  <c r="A174" i="51"/>
  <c r="A175" i="51"/>
  <c r="A176" i="51"/>
  <c r="A177" i="51"/>
  <c r="A178" i="51"/>
  <c r="A179" i="51"/>
  <c r="A180" i="51"/>
  <c r="A181" i="51"/>
  <c r="A182" i="51"/>
  <c r="A183" i="51"/>
  <c r="A184" i="51"/>
  <c r="A185" i="51"/>
  <c r="A186" i="51"/>
  <c r="A187" i="51"/>
  <c r="A188" i="51"/>
  <c r="A189" i="51"/>
  <c r="A190" i="51"/>
  <c r="A191" i="51"/>
  <c r="A192" i="51"/>
  <c r="A193" i="51"/>
  <c r="A194" i="51"/>
  <c r="A195" i="51"/>
  <c r="A196" i="51"/>
  <c r="A197" i="51"/>
  <c r="A198" i="51"/>
  <c r="A199" i="51"/>
  <c r="A200" i="51"/>
  <c r="A201" i="51"/>
  <c r="A202" i="51"/>
  <c r="A203" i="51"/>
  <c r="A204" i="51"/>
  <c r="A205" i="51"/>
  <c r="A206" i="51"/>
  <c r="A207" i="51"/>
  <c r="A208" i="51"/>
  <c r="A209" i="51"/>
  <c r="A210" i="51"/>
  <c r="A211" i="51"/>
  <c r="A212" i="51"/>
  <c r="D217" i="51"/>
  <c r="D221" i="51"/>
  <c r="E221" i="51"/>
  <c r="F221" i="51"/>
  <c r="G221" i="51"/>
  <c r="H221" i="51"/>
  <c r="I221" i="51"/>
  <c r="J221" i="51"/>
  <c r="K221" i="51"/>
  <c r="L221" i="51"/>
  <c r="M221" i="51"/>
  <c r="N221" i="51"/>
  <c r="O221" i="51"/>
  <c r="P221" i="51"/>
  <c r="Q221" i="51"/>
  <c r="R221" i="51"/>
  <c r="E217" i="51"/>
  <c r="F217" i="51"/>
  <c r="G217" i="51"/>
  <c r="H217" i="51"/>
  <c r="I217" i="51" s="1"/>
  <c r="J217" i="51" s="1"/>
  <c r="K217" i="51" s="1"/>
  <c r="L217" i="51" s="1"/>
  <c r="M217" i="51" s="1"/>
  <c r="N217" i="51" s="1"/>
  <c r="O217" i="51" s="1"/>
  <c r="P217" i="51" s="1"/>
  <c r="Q217" i="51" s="1"/>
  <c r="R217" i="51" s="1"/>
  <c r="C109" i="51"/>
  <c r="D109" i="51"/>
  <c r="E109" i="51"/>
  <c r="F109" i="51"/>
  <c r="G109" i="51"/>
  <c r="H109" i="51"/>
  <c r="I109" i="51"/>
  <c r="J109" i="51"/>
  <c r="K109" i="51"/>
  <c r="L109" i="51"/>
  <c r="M109" i="51"/>
  <c r="N109" i="51"/>
  <c r="O109" i="51"/>
  <c r="P109" i="51"/>
  <c r="Q109" i="51"/>
  <c r="R109" i="51"/>
  <c r="C110" i="51"/>
  <c r="D110" i="51"/>
  <c r="E110" i="51"/>
  <c r="F110" i="51"/>
  <c r="G110" i="51"/>
  <c r="H110" i="51"/>
  <c r="I110" i="51"/>
  <c r="J110" i="51"/>
  <c r="K110" i="51"/>
  <c r="L110" i="51"/>
  <c r="M110" i="51"/>
  <c r="N110" i="51"/>
  <c r="O110" i="51"/>
  <c r="P110" i="51"/>
  <c r="Q110" i="51"/>
  <c r="R110" i="51"/>
  <c r="C218" i="51"/>
  <c r="D218" i="51"/>
  <c r="E218" i="51"/>
  <c r="F218" i="51"/>
  <c r="G218" i="51"/>
  <c r="H218" i="51"/>
  <c r="I218" i="51" s="1"/>
  <c r="J218" i="51" s="1"/>
  <c r="K218" i="51" s="1"/>
  <c r="L218" i="51" s="1"/>
  <c r="M218" i="51" s="1"/>
  <c r="N218" i="51" s="1"/>
  <c r="O218" i="51" s="1"/>
  <c r="P218" i="51" s="1"/>
  <c r="Q218" i="51" s="1"/>
  <c r="R218" i="51" s="1"/>
  <c r="C219" i="51"/>
  <c r="D219" i="51"/>
  <c r="E219" i="51"/>
  <c r="F219" i="51"/>
  <c r="G219" i="51"/>
  <c r="H219" i="51"/>
  <c r="I219" i="51" s="1"/>
  <c r="J219" i="51" s="1"/>
  <c r="K219" i="51" s="1"/>
  <c r="L219" i="51" s="1"/>
  <c r="M219" i="51" s="1"/>
  <c r="N219" i="51" s="1"/>
  <c r="O219" i="51" s="1"/>
  <c r="P219" i="51" s="1"/>
  <c r="Q219" i="51" s="1"/>
  <c r="R219" i="51" s="1"/>
  <c r="C220" i="51"/>
  <c r="D220" i="51"/>
  <c r="E220" i="51"/>
  <c r="F220" i="51"/>
  <c r="G220" i="51"/>
  <c r="H220" i="51"/>
  <c r="I220" i="51" s="1"/>
  <c r="J220" i="51" s="1"/>
  <c r="K220" i="51" s="1"/>
  <c r="L220" i="51" s="1"/>
  <c r="M220" i="51" s="1"/>
  <c r="N220" i="51" s="1"/>
  <c r="O220" i="51" s="1"/>
  <c r="P220" i="51" s="1"/>
  <c r="Q220" i="51" s="1"/>
  <c r="R220" i="51" s="1"/>
  <c r="D129" i="24"/>
  <c r="G5" i="28"/>
  <c r="H5" i="28"/>
  <c r="I5" i="28"/>
  <c r="J5" i="28"/>
  <c r="K5" i="28"/>
  <c r="L5" i="28"/>
  <c r="H31" i="28"/>
  <c r="I31" i="28"/>
  <c r="J31" i="28"/>
  <c r="K31" i="28"/>
  <c r="L31" i="28"/>
  <c r="T13" i="28"/>
  <c r="D39" i="27"/>
  <c r="D43" i="27"/>
  <c r="F135" i="27"/>
  <c r="D121" i="27"/>
  <c r="D142" i="27"/>
  <c r="I57" i="27"/>
  <c r="D163" i="27"/>
  <c r="F136" i="27"/>
  <c r="D122" i="27"/>
  <c r="F137" i="27"/>
  <c r="D123" i="27"/>
  <c r="A163" i="27"/>
  <c r="A164" i="27"/>
  <c r="A165" i="27"/>
  <c r="A166" i="27"/>
  <c r="A167" i="27"/>
  <c r="A168" i="27"/>
  <c r="J57" i="27"/>
  <c r="E163" i="27"/>
  <c r="H163" i="27"/>
  <c r="F134" i="27"/>
  <c r="D120" i="27"/>
  <c r="D141" i="27"/>
  <c r="I58" i="27"/>
  <c r="D164" i="27"/>
  <c r="J58" i="27"/>
  <c r="E164" i="27"/>
  <c r="I59" i="27"/>
  <c r="D165" i="27"/>
  <c r="J59" i="27"/>
  <c r="E165" i="27"/>
  <c r="H165" i="27"/>
  <c r="I60" i="27"/>
  <c r="D166" i="27"/>
  <c r="J60" i="27"/>
  <c r="E166" i="27"/>
  <c r="H166" i="27"/>
  <c r="I61" i="27"/>
  <c r="D167" i="27"/>
  <c r="J61" i="27"/>
  <c r="E167" i="27"/>
  <c r="H167" i="27"/>
  <c r="I62" i="27"/>
  <c r="D168" i="27"/>
  <c r="J62" i="27"/>
  <c r="E168" i="27"/>
  <c r="I63" i="27"/>
  <c r="D169" i="27"/>
  <c r="A169" i="27"/>
  <c r="J63" i="27"/>
  <c r="E169" i="27"/>
  <c r="I64" i="27"/>
  <c r="D170" i="27"/>
  <c r="A170" i="27"/>
  <c r="J64" i="27"/>
  <c r="E170" i="27"/>
  <c r="I65" i="27"/>
  <c r="D171" i="27"/>
  <c r="A171" i="27"/>
  <c r="J65" i="27"/>
  <c r="E171" i="27"/>
  <c r="I66" i="27"/>
  <c r="D172" i="27"/>
  <c r="A172" i="27"/>
  <c r="J66" i="27"/>
  <c r="E172" i="27"/>
  <c r="I67" i="27"/>
  <c r="D173" i="27"/>
  <c r="A173" i="27"/>
  <c r="J67" i="27"/>
  <c r="E173" i="27"/>
  <c r="I68" i="27"/>
  <c r="D174" i="27"/>
  <c r="A174" i="27"/>
  <c r="J68" i="27"/>
  <c r="E174" i="27"/>
  <c r="I69" i="27"/>
  <c r="D175" i="27"/>
  <c r="A175" i="27"/>
  <c r="J69" i="27"/>
  <c r="E175" i="27"/>
  <c r="I70" i="27"/>
  <c r="D176" i="27"/>
  <c r="A176" i="27"/>
  <c r="J70" i="27"/>
  <c r="E176" i="27"/>
  <c r="I71" i="27"/>
  <c r="D177" i="27"/>
  <c r="A177" i="27"/>
  <c r="J71" i="27"/>
  <c r="E177" i="27"/>
  <c r="I72" i="27"/>
  <c r="D178" i="27"/>
  <c r="A178" i="27"/>
  <c r="J72" i="27"/>
  <c r="E178" i="27"/>
  <c r="I73" i="27"/>
  <c r="D179" i="27"/>
  <c r="A179" i="27"/>
  <c r="J73" i="27"/>
  <c r="E179" i="27"/>
  <c r="I74" i="27"/>
  <c r="D180" i="27"/>
  <c r="A180" i="27"/>
  <c r="J74" i="27"/>
  <c r="E180" i="27"/>
  <c r="C193" i="27"/>
  <c r="D193" i="27"/>
  <c r="F83" i="27"/>
  <c r="E193" i="27"/>
  <c r="H193" i="27"/>
  <c r="C194" i="27"/>
  <c r="D194" i="27"/>
  <c r="F88" i="27"/>
  <c r="E194" i="27"/>
  <c r="H194" i="27"/>
  <c r="C195" i="27"/>
  <c r="D195" i="27"/>
  <c r="F92" i="27"/>
  <c r="E195" i="27"/>
  <c r="C196" i="27"/>
  <c r="D196" i="27"/>
  <c r="F97" i="27"/>
  <c r="E196" i="27"/>
  <c r="H196" i="27"/>
  <c r="F107" i="27"/>
  <c r="D207" i="27"/>
  <c r="F108" i="27"/>
  <c r="D208" i="27"/>
  <c r="F110" i="27"/>
  <c r="D209" i="27"/>
  <c r="F111" i="27"/>
  <c r="D210" i="27"/>
  <c r="C29" i="27"/>
  <c r="E30" i="27"/>
  <c r="C30" i="27"/>
  <c r="C31" i="27"/>
  <c r="C35" i="27"/>
  <c r="C36" i="27"/>
  <c r="D36" i="27"/>
  <c r="E36" i="27"/>
  <c r="L39" i="27"/>
  <c r="M39" i="27"/>
  <c r="M40" i="27"/>
  <c r="J40" i="27"/>
  <c r="L40" i="27"/>
  <c r="G134" i="27"/>
  <c r="G135" i="27"/>
  <c r="G136" i="27"/>
  <c r="G137" i="27"/>
  <c r="B163" i="27"/>
  <c r="B164" i="27"/>
  <c r="B165" i="27"/>
  <c r="B166" i="27"/>
  <c r="B167" i="27"/>
  <c r="B168" i="27"/>
  <c r="B169" i="27"/>
  <c r="B170" i="27"/>
  <c r="B171" i="27"/>
  <c r="B172" i="27"/>
  <c r="B173" i="27"/>
  <c r="B174" i="27"/>
  <c r="B175" i="27"/>
  <c r="B176" i="27"/>
  <c r="B177" i="27"/>
  <c r="B178" i="27"/>
  <c r="B179" i="27"/>
  <c r="B180" i="27"/>
  <c r="O214" i="27"/>
  <c r="D39" i="26"/>
  <c r="D40" i="26"/>
  <c r="D41" i="26"/>
  <c r="D43" i="26"/>
  <c r="F135" i="26"/>
  <c r="D142" i="26"/>
  <c r="D121" i="26"/>
  <c r="I57" i="26"/>
  <c r="D163" i="26"/>
  <c r="D143" i="26"/>
  <c r="D123" i="26"/>
  <c r="D144" i="26"/>
  <c r="A163" i="26"/>
  <c r="J57" i="26"/>
  <c r="E163" i="26"/>
  <c r="F134" i="26"/>
  <c r="D120" i="26"/>
  <c r="I58" i="26"/>
  <c r="D164" i="26"/>
  <c r="A164" i="26"/>
  <c r="J58" i="26"/>
  <c r="E164" i="26"/>
  <c r="I59" i="26"/>
  <c r="D165" i="26"/>
  <c r="A165" i="26"/>
  <c r="J59" i="26"/>
  <c r="E165" i="26"/>
  <c r="I60" i="26"/>
  <c r="D166" i="26"/>
  <c r="A166" i="26"/>
  <c r="J60" i="26"/>
  <c r="E166" i="26"/>
  <c r="I61" i="26"/>
  <c r="D167" i="26"/>
  <c r="A167" i="26"/>
  <c r="J61" i="26"/>
  <c r="E167" i="26"/>
  <c r="I62" i="26"/>
  <c r="D168" i="26"/>
  <c r="A168" i="26"/>
  <c r="J62" i="26"/>
  <c r="E168" i="26"/>
  <c r="I63" i="26"/>
  <c r="D169" i="26"/>
  <c r="A169" i="26"/>
  <c r="J63" i="26"/>
  <c r="E169" i="26"/>
  <c r="I64" i="26"/>
  <c r="D170" i="26"/>
  <c r="A170" i="26"/>
  <c r="J64" i="26"/>
  <c r="E170" i="26"/>
  <c r="I65" i="26"/>
  <c r="D171" i="26"/>
  <c r="A171" i="26"/>
  <c r="J65" i="26"/>
  <c r="E171" i="26"/>
  <c r="I66" i="26"/>
  <c r="D172" i="26"/>
  <c r="A172" i="26"/>
  <c r="J66" i="26"/>
  <c r="E172" i="26"/>
  <c r="I67" i="26"/>
  <c r="D173" i="26"/>
  <c r="A173" i="26"/>
  <c r="J67" i="26"/>
  <c r="E173" i="26"/>
  <c r="I68" i="26"/>
  <c r="D174" i="26"/>
  <c r="A174" i="26"/>
  <c r="J68" i="26"/>
  <c r="E174" i="26"/>
  <c r="I69" i="26"/>
  <c r="D175" i="26"/>
  <c r="A175" i="26"/>
  <c r="J69" i="26"/>
  <c r="E175" i="26"/>
  <c r="I70" i="26"/>
  <c r="D176" i="26"/>
  <c r="A176" i="26"/>
  <c r="J70" i="26"/>
  <c r="E176" i="26"/>
  <c r="I71" i="26"/>
  <c r="D177" i="26"/>
  <c r="A177" i="26"/>
  <c r="J71" i="26"/>
  <c r="E177" i="26"/>
  <c r="I72" i="26"/>
  <c r="D178" i="26"/>
  <c r="A178" i="26"/>
  <c r="J72" i="26"/>
  <c r="E178" i="26"/>
  <c r="I73" i="26"/>
  <c r="D179" i="26"/>
  <c r="A179" i="26"/>
  <c r="J73" i="26"/>
  <c r="E179" i="26"/>
  <c r="I74" i="26"/>
  <c r="D180" i="26"/>
  <c r="A180" i="26"/>
  <c r="J74" i="26"/>
  <c r="E180" i="26"/>
  <c r="C193" i="26"/>
  <c r="D193" i="26"/>
  <c r="F83" i="26"/>
  <c r="E193" i="26"/>
  <c r="C194" i="26"/>
  <c r="D194" i="26"/>
  <c r="F88" i="26"/>
  <c r="E194" i="26"/>
  <c r="C195" i="26"/>
  <c r="D195" i="26"/>
  <c r="F92" i="26"/>
  <c r="E195" i="26"/>
  <c r="C196" i="26"/>
  <c r="D196" i="26"/>
  <c r="F97" i="26"/>
  <c r="E196" i="26"/>
  <c r="F107" i="26"/>
  <c r="D207" i="26"/>
  <c r="F108" i="26"/>
  <c r="D208" i="26"/>
  <c r="F110" i="26"/>
  <c r="D209" i="26"/>
  <c r="F111" i="26"/>
  <c r="D210" i="26"/>
  <c r="E30" i="26"/>
  <c r="C30" i="26"/>
  <c r="C31" i="26"/>
  <c r="C35" i="26"/>
  <c r="C36" i="26"/>
  <c r="D36" i="26"/>
  <c r="E36" i="26"/>
  <c r="L39" i="26"/>
  <c r="L40" i="26"/>
  <c r="M39" i="26"/>
  <c r="M40" i="26"/>
  <c r="J40" i="26"/>
  <c r="G134" i="26"/>
  <c r="G135" i="26"/>
  <c r="G136" i="26"/>
  <c r="G137" i="26"/>
  <c r="B163" i="26"/>
  <c r="B164" i="26"/>
  <c r="B165" i="26"/>
  <c r="B166" i="26"/>
  <c r="B167" i="26"/>
  <c r="B168" i="26"/>
  <c r="B169" i="26"/>
  <c r="B170" i="26"/>
  <c r="B171" i="26"/>
  <c r="B172" i="26"/>
  <c r="B173" i="26"/>
  <c r="B174" i="26"/>
  <c r="B175" i="26"/>
  <c r="B176" i="26"/>
  <c r="B177" i="26"/>
  <c r="B178" i="26"/>
  <c r="B179" i="26"/>
  <c r="B180" i="26"/>
  <c r="O214" i="26"/>
  <c r="D128" i="25"/>
  <c r="D120" i="25"/>
  <c r="I56" i="25"/>
  <c r="D162" i="25"/>
  <c r="D121" i="25"/>
  <c r="D122" i="25"/>
  <c r="A162" i="25"/>
  <c r="A163" i="25"/>
  <c r="A164" i="25"/>
  <c r="A165" i="25"/>
  <c r="A166" i="25"/>
  <c r="A167" i="25"/>
  <c r="J56" i="25"/>
  <c r="E162" i="25"/>
  <c r="D119" i="25"/>
  <c r="I57" i="25"/>
  <c r="D163" i="25"/>
  <c r="J57" i="25"/>
  <c r="E163" i="25"/>
  <c r="I58" i="25"/>
  <c r="D164" i="25"/>
  <c r="J58" i="25"/>
  <c r="E164" i="25"/>
  <c r="I59" i="25"/>
  <c r="D165" i="25"/>
  <c r="J59" i="25"/>
  <c r="E165" i="25"/>
  <c r="I60" i="25"/>
  <c r="D166" i="25"/>
  <c r="J60" i="25"/>
  <c r="E166" i="25"/>
  <c r="I61" i="25"/>
  <c r="D167" i="25"/>
  <c r="J61" i="25"/>
  <c r="E167" i="25"/>
  <c r="I62" i="25"/>
  <c r="D168" i="25"/>
  <c r="A168" i="25"/>
  <c r="J62" i="25"/>
  <c r="E168" i="25"/>
  <c r="I63" i="25"/>
  <c r="D169" i="25"/>
  <c r="A169" i="25"/>
  <c r="A170" i="25"/>
  <c r="A171" i="25"/>
  <c r="A172" i="25"/>
  <c r="J63" i="25"/>
  <c r="E169" i="25"/>
  <c r="I64" i="25"/>
  <c r="D170" i="25"/>
  <c r="J64" i="25"/>
  <c r="E170" i="25"/>
  <c r="I65" i="25"/>
  <c r="D171" i="25"/>
  <c r="J65" i="25"/>
  <c r="E171" i="25"/>
  <c r="I66" i="25"/>
  <c r="D172" i="25"/>
  <c r="J66" i="25"/>
  <c r="E172" i="25"/>
  <c r="I67" i="25"/>
  <c r="D173" i="25"/>
  <c r="A173" i="25"/>
  <c r="A174" i="25"/>
  <c r="A175" i="25"/>
  <c r="A176" i="25"/>
  <c r="J67" i="25"/>
  <c r="E173" i="25"/>
  <c r="I68" i="25"/>
  <c r="D174" i="25"/>
  <c r="J68" i="25"/>
  <c r="E174" i="25"/>
  <c r="I69" i="25"/>
  <c r="D175" i="25"/>
  <c r="J69" i="25"/>
  <c r="E175" i="25"/>
  <c r="I70" i="25"/>
  <c r="D176" i="25"/>
  <c r="J70" i="25"/>
  <c r="E176" i="25"/>
  <c r="I71" i="25"/>
  <c r="D177" i="25"/>
  <c r="A177" i="25"/>
  <c r="A178" i="25"/>
  <c r="A179" i="25"/>
  <c r="J71" i="25"/>
  <c r="E177" i="25"/>
  <c r="I72" i="25"/>
  <c r="D178" i="25"/>
  <c r="J72" i="25"/>
  <c r="E178" i="25"/>
  <c r="I73" i="25"/>
  <c r="D179" i="25"/>
  <c r="J73" i="25"/>
  <c r="E179" i="25"/>
  <c r="C192" i="25"/>
  <c r="D192" i="25"/>
  <c r="F82" i="25"/>
  <c r="E192" i="25"/>
  <c r="C193" i="25"/>
  <c r="D193" i="25"/>
  <c r="F87" i="25"/>
  <c r="E193" i="25"/>
  <c r="C194" i="25"/>
  <c r="D194" i="25"/>
  <c r="F91" i="25"/>
  <c r="E194" i="25"/>
  <c r="C195" i="25"/>
  <c r="D195" i="25"/>
  <c r="F96" i="25"/>
  <c r="E195" i="25"/>
  <c r="F106" i="25"/>
  <c r="D206" i="25"/>
  <c r="F107" i="25"/>
  <c r="D207" i="25"/>
  <c r="F109" i="25"/>
  <c r="D208" i="25"/>
  <c r="F110" i="25"/>
  <c r="D209" i="25"/>
  <c r="G133" i="25"/>
  <c r="G134" i="25"/>
  <c r="G135" i="25"/>
  <c r="G136" i="25"/>
  <c r="B162" i="25"/>
  <c r="B163" i="25"/>
  <c r="B164" i="25"/>
  <c r="B165" i="25"/>
  <c r="B166" i="25"/>
  <c r="B167" i="25"/>
  <c r="B168" i="25"/>
  <c r="B169" i="25"/>
  <c r="B170" i="25"/>
  <c r="B171" i="25"/>
  <c r="B172" i="25"/>
  <c r="B173" i="25"/>
  <c r="B174" i="25"/>
  <c r="B175" i="25"/>
  <c r="B176" i="25"/>
  <c r="B177" i="25"/>
  <c r="B178" i="25"/>
  <c r="B179" i="25"/>
  <c r="D121" i="24"/>
  <c r="I57" i="24"/>
  <c r="D163" i="24"/>
  <c r="D122" i="24"/>
  <c r="D123" i="24"/>
  <c r="A163" i="24"/>
  <c r="A164" i="24"/>
  <c r="A165" i="24"/>
  <c r="A166" i="24"/>
  <c r="A167" i="24"/>
  <c r="A168" i="24"/>
  <c r="J57" i="24"/>
  <c r="E163" i="24"/>
  <c r="D120" i="24"/>
  <c r="I58" i="24"/>
  <c r="D164" i="24"/>
  <c r="J58" i="24"/>
  <c r="E164" i="24"/>
  <c r="I59" i="24"/>
  <c r="D165" i="24"/>
  <c r="J59" i="24"/>
  <c r="E165" i="24"/>
  <c r="I60" i="24"/>
  <c r="D166" i="24"/>
  <c r="J60" i="24"/>
  <c r="E166" i="24"/>
  <c r="I61" i="24"/>
  <c r="D167" i="24"/>
  <c r="J61" i="24"/>
  <c r="E167" i="24"/>
  <c r="I62" i="24"/>
  <c r="D168" i="24"/>
  <c r="J62" i="24"/>
  <c r="E168" i="24"/>
  <c r="I63" i="24"/>
  <c r="D169" i="24"/>
  <c r="A169" i="24"/>
  <c r="J63" i="24"/>
  <c r="E169" i="24"/>
  <c r="I64" i="24"/>
  <c r="D170" i="24"/>
  <c r="A170" i="24"/>
  <c r="A171" i="24"/>
  <c r="A172" i="24"/>
  <c r="A173" i="24"/>
  <c r="J64" i="24"/>
  <c r="E170" i="24"/>
  <c r="I65" i="24"/>
  <c r="D171" i="24"/>
  <c r="J65" i="24"/>
  <c r="E171" i="24"/>
  <c r="I66" i="24"/>
  <c r="D172" i="24"/>
  <c r="J66" i="24"/>
  <c r="E172" i="24"/>
  <c r="I67" i="24"/>
  <c r="D173" i="24"/>
  <c r="J67" i="24"/>
  <c r="E173" i="24"/>
  <c r="I68" i="24"/>
  <c r="D174" i="24"/>
  <c r="A174" i="24"/>
  <c r="A175" i="24"/>
  <c r="A176" i="24"/>
  <c r="A177" i="24"/>
  <c r="J68" i="24"/>
  <c r="E174" i="24"/>
  <c r="I69" i="24"/>
  <c r="D175" i="24"/>
  <c r="J69" i="24"/>
  <c r="E175" i="24"/>
  <c r="I70" i="24"/>
  <c r="D176" i="24"/>
  <c r="J70" i="24"/>
  <c r="E176" i="24"/>
  <c r="I71" i="24"/>
  <c r="D177" i="24"/>
  <c r="J71" i="24"/>
  <c r="E177" i="24"/>
  <c r="I72" i="24"/>
  <c r="D178" i="24"/>
  <c r="A178" i="24"/>
  <c r="A179" i="24"/>
  <c r="A180" i="24"/>
  <c r="J72" i="24"/>
  <c r="E178" i="24"/>
  <c r="I73" i="24"/>
  <c r="D179" i="24"/>
  <c r="J73" i="24"/>
  <c r="E179" i="24"/>
  <c r="I74" i="24"/>
  <c r="D180" i="24"/>
  <c r="J74" i="24"/>
  <c r="E180" i="24"/>
  <c r="C193" i="24"/>
  <c r="D193" i="24"/>
  <c r="F83" i="24"/>
  <c r="E193" i="24"/>
  <c r="C194" i="24"/>
  <c r="D194" i="24"/>
  <c r="F88" i="24"/>
  <c r="E194" i="24"/>
  <c r="C195" i="24"/>
  <c r="D195" i="24"/>
  <c r="F92" i="24"/>
  <c r="E195" i="24"/>
  <c r="C196" i="24"/>
  <c r="D196" i="24"/>
  <c r="F97" i="24"/>
  <c r="E196" i="24"/>
  <c r="F107" i="24"/>
  <c r="D207" i="24"/>
  <c r="F108" i="24"/>
  <c r="D208" i="24"/>
  <c r="F110" i="24"/>
  <c r="D209" i="24"/>
  <c r="F111" i="24"/>
  <c r="D210" i="24"/>
  <c r="G134" i="24"/>
  <c r="G135" i="24"/>
  <c r="G136" i="24"/>
  <c r="G137" i="24"/>
  <c r="B163" i="24"/>
  <c r="B164" i="24"/>
  <c r="B165" i="24"/>
  <c r="B166" i="24"/>
  <c r="B167" i="24"/>
  <c r="B168" i="24"/>
  <c r="B169" i="24"/>
  <c r="B170" i="24"/>
  <c r="B171" i="24"/>
  <c r="B172" i="24"/>
  <c r="B173" i="24"/>
  <c r="B174" i="24"/>
  <c r="B175" i="24"/>
  <c r="B176" i="24"/>
  <c r="B177" i="24"/>
  <c r="B178" i="24"/>
  <c r="B179" i="24"/>
  <c r="B180" i="24"/>
  <c r="D121" i="23"/>
  <c r="I57" i="23"/>
  <c r="D163" i="23"/>
  <c r="D122" i="23"/>
  <c r="A163" i="23"/>
  <c r="A164" i="23"/>
  <c r="A165" i="23"/>
  <c r="A166" i="23"/>
  <c r="A167" i="23"/>
  <c r="A168" i="23"/>
  <c r="J57" i="23"/>
  <c r="E163" i="23"/>
  <c r="D120" i="23"/>
  <c r="I58" i="23"/>
  <c r="D164" i="23"/>
  <c r="J58" i="23"/>
  <c r="E164" i="23"/>
  <c r="I59" i="23"/>
  <c r="D165" i="23"/>
  <c r="J59" i="23"/>
  <c r="E165" i="23"/>
  <c r="I60" i="23"/>
  <c r="D166" i="23"/>
  <c r="J60" i="23"/>
  <c r="E166" i="23"/>
  <c r="I61" i="23"/>
  <c r="D167" i="23"/>
  <c r="J61" i="23"/>
  <c r="E167" i="23"/>
  <c r="I62" i="23"/>
  <c r="D168" i="23"/>
  <c r="J62" i="23"/>
  <c r="E168" i="23"/>
  <c r="I63" i="23"/>
  <c r="D169" i="23"/>
  <c r="A169" i="23"/>
  <c r="A170" i="23"/>
  <c r="A171" i="23"/>
  <c r="A172" i="23"/>
  <c r="A173" i="23"/>
  <c r="J63" i="23"/>
  <c r="E169" i="23"/>
  <c r="I64" i="23"/>
  <c r="D170" i="23"/>
  <c r="J64" i="23"/>
  <c r="E170" i="23"/>
  <c r="I65" i="23"/>
  <c r="D171" i="23"/>
  <c r="J65" i="23"/>
  <c r="E171" i="23"/>
  <c r="I66" i="23"/>
  <c r="D172" i="23"/>
  <c r="J66" i="23"/>
  <c r="E172" i="23"/>
  <c r="I67" i="23"/>
  <c r="D173" i="23"/>
  <c r="J67" i="23"/>
  <c r="E173" i="23"/>
  <c r="I68" i="23"/>
  <c r="D174" i="23"/>
  <c r="A174" i="23"/>
  <c r="A175" i="23"/>
  <c r="A176" i="23"/>
  <c r="A177" i="23"/>
  <c r="J68" i="23"/>
  <c r="E174" i="23"/>
  <c r="I69" i="23"/>
  <c r="D175" i="23"/>
  <c r="J69" i="23"/>
  <c r="E175" i="23"/>
  <c r="I70" i="23"/>
  <c r="D176" i="23"/>
  <c r="J70" i="23"/>
  <c r="E176" i="23"/>
  <c r="I71" i="23"/>
  <c r="D177" i="23"/>
  <c r="J71" i="23"/>
  <c r="E177" i="23"/>
  <c r="I72" i="23"/>
  <c r="D178" i="23"/>
  <c r="A178" i="23"/>
  <c r="A179" i="23"/>
  <c r="A180" i="23"/>
  <c r="J72" i="23"/>
  <c r="E178" i="23"/>
  <c r="I73" i="23"/>
  <c r="D179" i="23"/>
  <c r="J73" i="23"/>
  <c r="E179" i="23"/>
  <c r="I74" i="23"/>
  <c r="D180" i="23"/>
  <c r="J74" i="23"/>
  <c r="E180" i="23"/>
  <c r="C193" i="23"/>
  <c r="D193" i="23"/>
  <c r="F83" i="23"/>
  <c r="E193" i="23"/>
  <c r="C194" i="23"/>
  <c r="D194" i="23"/>
  <c r="F88" i="23"/>
  <c r="E194" i="23"/>
  <c r="C195" i="23"/>
  <c r="D195" i="23"/>
  <c r="F92" i="23"/>
  <c r="E195" i="23"/>
  <c r="C196" i="23"/>
  <c r="D196" i="23"/>
  <c r="F97" i="23"/>
  <c r="E196" i="23"/>
  <c r="F107" i="23"/>
  <c r="D207" i="23"/>
  <c r="F108" i="23"/>
  <c r="D208" i="23"/>
  <c r="F110" i="23"/>
  <c r="D209" i="23"/>
  <c r="F111" i="23"/>
  <c r="D210" i="23"/>
  <c r="G134" i="23"/>
  <c r="G135" i="23"/>
  <c r="G136" i="23"/>
  <c r="G137" i="23"/>
  <c r="B163" i="23"/>
  <c r="B164" i="23"/>
  <c r="B165" i="23"/>
  <c r="B166" i="23"/>
  <c r="B167" i="23"/>
  <c r="B168" i="23"/>
  <c r="B169" i="23"/>
  <c r="B170" i="23"/>
  <c r="B171" i="23"/>
  <c r="B172" i="23"/>
  <c r="B173" i="23"/>
  <c r="B174" i="23"/>
  <c r="B175" i="23"/>
  <c r="B176" i="23"/>
  <c r="B177" i="23"/>
  <c r="B178" i="23"/>
  <c r="B179" i="23"/>
  <c r="B180" i="23"/>
  <c r="D121" i="22"/>
  <c r="I57" i="22"/>
  <c r="D163" i="22"/>
  <c r="D122" i="22"/>
  <c r="D123" i="22"/>
  <c r="A163" i="22"/>
  <c r="A164" i="22"/>
  <c r="A165" i="22"/>
  <c r="A166" i="22"/>
  <c r="A167" i="22"/>
  <c r="A168" i="22"/>
  <c r="J57" i="22"/>
  <c r="E163" i="22"/>
  <c r="D120" i="22"/>
  <c r="I58" i="22"/>
  <c r="D164" i="22"/>
  <c r="J58" i="22"/>
  <c r="E164" i="22"/>
  <c r="I59" i="22"/>
  <c r="D165" i="22"/>
  <c r="J59" i="22"/>
  <c r="E165" i="22"/>
  <c r="I60" i="22"/>
  <c r="D166" i="22"/>
  <c r="J60" i="22"/>
  <c r="E166" i="22"/>
  <c r="I61" i="22"/>
  <c r="D167" i="22"/>
  <c r="J61" i="22"/>
  <c r="E167" i="22"/>
  <c r="I62" i="22"/>
  <c r="D168" i="22"/>
  <c r="J62" i="22"/>
  <c r="E168" i="22"/>
  <c r="I63" i="22"/>
  <c r="D169" i="22"/>
  <c r="A169" i="22"/>
  <c r="A170" i="22"/>
  <c r="A171" i="22"/>
  <c r="A172" i="22"/>
  <c r="A173" i="22"/>
  <c r="J63" i="22"/>
  <c r="E169" i="22"/>
  <c r="I64" i="22"/>
  <c r="D170" i="22"/>
  <c r="J64" i="22"/>
  <c r="E170" i="22"/>
  <c r="I65" i="22"/>
  <c r="D171" i="22"/>
  <c r="J65" i="22"/>
  <c r="E171" i="22"/>
  <c r="I66" i="22"/>
  <c r="D172" i="22"/>
  <c r="J66" i="22"/>
  <c r="E172" i="22"/>
  <c r="I67" i="22"/>
  <c r="D173" i="22"/>
  <c r="J67" i="22"/>
  <c r="E173" i="22"/>
  <c r="I68" i="22"/>
  <c r="D174" i="22"/>
  <c r="A174" i="22"/>
  <c r="J68" i="22"/>
  <c r="E174" i="22"/>
  <c r="I69" i="22"/>
  <c r="D175" i="22"/>
  <c r="A175" i="22"/>
  <c r="J69" i="22"/>
  <c r="E175" i="22"/>
  <c r="I70" i="22"/>
  <c r="D176" i="22"/>
  <c r="A176" i="22"/>
  <c r="A177" i="22"/>
  <c r="J70" i="22"/>
  <c r="E176" i="22"/>
  <c r="I71" i="22"/>
  <c r="D177" i="22"/>
  <c r="J71" i="22"/>
  <c r="E177" i="22"/>
  <c r="I72" i="22"/>
  <c r="D178" i="22"/>
  <c r="A178" i="22"/>
  <c r="J72" i="22"/>
  <c r="E178" i="22"/>
  <c r="I73" i="22"/>
  <c r="D179" i="22"/>
  <c r="A179" i="22"/>
  <c r="J73" i="22"/>
  <c r="E179" i="22"/>
  <c r="I74" i="22"/>
  <c r="D180" i="22"/>
  <c r="A180" i="22"/>
  <c r="J74" i="22"/>
  <c r="E180" i="22"/>
  <c r="C193" i="22"/>
  <c r="D193" i="22"/>
  <c r="F83" i="22"/>
  <c r="E193" i="22"/>
  <c r="C194" i="22"/>
  <c r="D194" i="22"/>
  <c r="F88" i="22"/>
  <c r="E194" i="22"/>
  <c r="C195" i="22"/>
  <c r="D195" i="22"/>
  <c r="F92" i="22"/>
  <c r="E195" i="22"/>
  <c r="C196" i="22"/>
  <c r="D196" i="22"/>
  <c r="F97" i="22"/>
  <c r="E196" i="22"/>
  <c r="F107" i="22"/>
  <c r="D207" i="22"/>
  <c r="F108" i="22"/>
  <c r="D208" i="22"/>
  <c r="F110" i="22"/>
  <c r="D209" i="22"/>
  <c r="F111" i="22"/>
  <c r="D210" i="22"/>
  <c r="G134" i="22"/>
  <c r="G135" i="22"/>
  <c r="G136" i="22"/>
  <c r="G137" i="22"/>
  <c r="B163" i="22"/>
  <c r="B164" i="22"/>
  <c r="B165" i="22"/>
  <c r="B166" i="22"/>
  <c r="B167" i="22"/>
  <c r="B168" i="22"/>
  <c r="B169" i="22"/>
  <c r="B170" i="22"/>
  <c r="B171" i="22"/>
  <c r="B172" i="22"/>
  <c r="B173" i="22"/>
  <c r="B174" i="22"/>
  <c r="B175" i="22"/>
  <c r="B176" i="22"/>
  <c r="B177" i="22"/>
  <c r="B178" i="22"/>
  <c r="B179" i="22"/>
  <c r="B180" i="22"/>
  <c r="D121" i="21"/>
  <c r="I57" i="21"/>
  <c r="D163" i="21"/>
  <c r="D122" i="21"/>
  <c r="D123" i="21"/>
  <c r="A163" i="21"/>
  <c r="A164" i="21"/>
  <c r="A165" i="21"/>
  <c r="A166" i="21"/>
  <c r="A167" i="21"/>
  <c r="A168" i="21"/>
  <c r="J57" i="21"/>
  <c r="E163" i="21"/>
  <c r="D120" i="21"/>
  <c r="I58" i="21"/>
  <c r="D164" i="21"/>
  <c r="J58" i="21"/>
  <c r="E164" i="21"/>
  <c r="I59" i="21"/>
  <c r="D165" i="21"/>
  <c r="J59" i="21"/>
  <c r="E165" i="21"/>
  <c r="I60" i="21"/>
  <c r="D166" i="21"/>
  <c r="J60" i="21"/>
  <c r="E166" i="21"/>
  <c r="I61" i="21"/>
  <c r="D167" i="21"/>
  <c r="J61" i="21"/>
  <c r="E167" i="21"/>
  <c r="I62" i="21"/>
  <c r="D168" i="21"/>
  <c r="J62" i="21"/>
  <c r="E168" i="21"/>
  <c r="I63" i="21"/>
  <c r="D169" i="21"/>
  <c r="A169" i="21"/>
  <c r="A170" i="21"/>
  <c r="A171" i="21"/>
  <c r="A172" i="21"/>
  <c r="A173" i="21"/>
  <c r="J63" i="21"/>
  <c r="E169" i="21"/>
  <c r="I64" i="21"/>
  <c r="D170" i="21"/>
  <c r="J64" i="21"/>
  <c r="E170" i="21"/>
  <c r="I65" i="21"/>
  <c r="D171" i="21"/>
  <c r="J65" i="21"/>
  <c r="E171" i="21"/>
  <c r="I66" i="21"/>
  <c r="D172" i="21"/>
  <c r="J66" i="21"/>
  <c r="E172" i="21"/>
  <c r="I67" i="21"/>
  <c r="D173" i="21"/>
  <c r="J67" i="21"/>
  <c r="E173" i="21"/>
  <c r="I68" i="21"/>
  <c r="D174" i="21"/>
  <c r="A174" i="21"/>
  <c r="J68" i="21"/>
  <c r="E174" i="21"/>
  <c r="I69" i="21"/>
  <c r="D175" i="21"/>
  <c r="A175" i="21"/>
  <c r="J69" i="21"/>
  <c r="E175" i="21"/>
  <c r="I70" i="21"/>
  <c r="D176" i="21"/>
  <c r="A176" i="21"/>
  <c r="A177" i="21"/>
  <c r="J70" i="21"/>
  <c r="E176" i="21"/>
  <c r="I71" i="21"/>
  <c r="D177" i="21"/>
  <c r="J71" i="21"/>
  <c r="E177" i="21"/>
  <c r="I72" i="21"/>
  <c r="D178" i="21"/>
  <c r="A178" i="21"/>
  <c r="J72" i="21"/>
  <c r="E178" i="21"/>
  <c r="I73" i="21"/>
  <c r="D179" i="21"/>
  <c r="A179" i="21"/>
  <c r="J73" i="21"/>
  <c r="E179" i="21"/>
  <c r="I74" i="21"/>
  <c r="D180" i="21"/>
  <c r="A180" i="21"/>
  <c r="J74" i="21"/>
  <c r="E180" i="21"/>
  <c r="C193" i="21"/>
  <c r="D193" i="21"/>
  <c r="F83" i="21"/>
  <c r="E193" i="21"/>
  <c r="C194" i="21"/>
  <c r="D194" i="21"/>
  <c r="F88" i="21"/>
  <c r="E194" i="21"/>
  <c r="C195" i="21"/>
  <c r="D195" i="21"/>
  <c r="F92" i="21"/>
  <c r="E195" i="21"/>
  <c r="C196" i="21"/>
  <c r="D196" i="21"/>
  <c r="F97" i="21"/>
  <c r="E196" i="21"/>
  <c r="F107" i="21"/>
  <c r="D207" i="21"/>
  <c r="F108" i="21"/>
  <c r="D208" i="21"/>
  <c r="F110" i="21"/>
  <c r="D209" i="21"/>
  <c r="F111" i="21"/>
  <c r="D210" i="21"/>
  <c r="G134" i="21"/>
  <c r="G135" i="21"/>
  <c r="G136" i="21"/>
  <c r="G137" i="21"/>
  <c r="B163" i="21"/>
  <c r="B164" i="21"/>
  <c r="B165" i="21"/>
  <c r="B166" i="21"/>
  <c r="B167" i="21"/>
  <c r="B168" i="21"/>
  <c r="B169" i="21"/>
  <c r="B170" i="21"/>
  <c r="B171" i="21"/>
  <c r="B172" i="21"/>
  <c r="B173" i="21"/>
  <c r="B174" i="21"/>
  <c r="B175" i="21"/>
  <c r="B176" i="21"/>
  <c r="B177" i="21"/>
  <c r="B178" i="21"/>
  <c r="B179" i="21"/>
  <c r="B180" i="21"/>
  <c r="D121" i="20"/>
  <c r="I57" i="20"/>
  <c r="D163" i="20"/>
  <c r="D122" i="20"/>
  <c r="D123" i="20"/>
  <c r="A163" i="20"/>
  <c r="A164" i="20"/>
  <c r="A165" i="20"/>
  <c r="A166" i="20"/>
  <c r="A167" i="20"/>
  <c r="A168" i="20"/>
  <c r="J57" i="20"/>
  <c r="E163" i="20"/>
  <c r="D120" i="20"/>
  <c r="I58" i="20"/>
  <c r="D164" i="20"/>
  <c r="J58" i="20"/>
  <c r="E164" i="20"/>
  <c r="I59" i="20"/>
  <c r="D165" i="20"/>
  <c r="J59" i="20"/>
  <c r="E165" i="20"/>
  <c r="I60" i="20"/>
  <c r="D166" i="20"/>
  <c r="J60" i="20"/>
  <c r="E166" i="20"/>
  <c r="I61" i="20"/>
  <c r="D167" i="20"/>
  <c r="J61" i="20"/>
  <c r="E167" i="20"/>
  <c r="I62" i="20"/>
  <c r="D168" i="20"/>
  <c r="J62" i="20"/>
  <c r="E168" i="20"/>
  <c r="I63" i="20"/>
  <c r="D169" i="20"/>
  <c r="A169" i="20"/>
  <c r="A170" i="20"/>
  <c r="A171" i="20"/>
  <c r="A172" i="20"/>
  <c r="A173" i="20"/>
  <c r="J63" i="20"/>
  <c r="E169" i="20"/>
  <c r="I64" i="20"/>
  <c r="D170" i="20"/>
  <c r="J64" i="20"/>
  <c r="E170" i="20"/>
  <c r="I65" i="20"/>
  <c r="D171" i="20"/>
  <c r="J65" i="20"/>
  <c r="E171" i="20"/>
  <c r="I66" i="20"/>
  <c r="D172" i="20"/>
  <c r="J66" i="20"/>
  <c r="E172" i="20"/>
  <c r="I67" i="20"/>
  <c r="D173" i="20"/>
  <c r="J67" i="20"/>
  <c r="E173" i="20"/>
  <c r="I68" i="20"/>
  <c r="D174" i="20"/>
  <c r="A174" i="20"/>
  <c r="J68" i="20"/>
  <c r="E174" i="20"/>
  <c r="I69" i="20"/>
  <c r="D175" i="20"/>
  <c r="A175" i="20"/>
  <c r="J69" i="20"/>
  <c r="E175" i="20"/>
  <c r="I70" i="20"/>
  <c r="D176" i="20"/>
  <c r="A176" i="20"/>
  <c r="A177" i="20"/>
  <c r="J70" i="20"/>
  <c r="E176" i="20"/>
  <c r="I71" i="20"/>
  <c r="D177" i="20"/>
  <c r="J71" i="20"/>
  <c r="E177" i="20"/>
  <c r="I72" i="20"/>
  <c r="D178" i="20"/>
  <c r="A178" i="20"/>
  <c r="J72" i="20"/>
  <c r="E178" i="20"/>
  <c r="I73" i="20"/>
  <c r="D179" i="20"/>
  <c r="A179" i="20"/>
  <c r="J73" i="20"/>
  <c r="E179" i="20"/>
  <c r="I74" i="20"/>
  <c r="D180" i="20"/>
  <c r="A180" i="20"/>
  <c r="J74" i="20"/>
  <c r="E180" i="20"/>
  <c r="C193" i="20"/>
  <c r="D193" i="20"/>
  <c r="F83" i="20"/>
  <c r="E193" i="20"/>
  <c r="C194" i="20"/>
  <c r="D194" i="20"/>
  <c r="F88" i="20"/>
  <c r="E194" i="20"/>
  <c r="C195" i="20"/>
  <c r="D195" i="20"/>
  <c r="F92" i="20"/>
  <c r="E195" i="20"/>
  <c r="C196" i="20"/>
  <c r="D196" i="20"/>
  <c r="F97" i="20"/>
  <c r="E196" i="20"/>
  <c r="F107" i="20"/>
  <c r="D207" i="20"/>
  <c r="F108" i="20"/>
  <c r="D208" i="20"/>
  <c r="F110" i="20"/>
  <c r="D209" i="20"/>
  <c r="F111" i="20"/>
  <c r="D210" i="20"/>
  <c r="G134" i="20"/>
  <c r="G135" i="20"/>
  <c r="G136" i="20"/>
  <c r="G137" i="20"/>
  <c r="B163" i="20"/>
  <c r="B164" i="20"/>
  <c r="B165" i="20"/>
  <c r="B166" i="20"/>
  <c r="B167" i="20"/>
  <c r="B168" i="20"/>
  <c r="B169" i="20"/>
  <c r="B170" i="20"/>
  <c r="B171" i="20"/>
  <c r="B172" i="20"/>
  <c r="B173" i="20"/>
  <c r="B174" i="20"/>
  <c r="B175" i="20"/>
  <c r="B176" i="20"/>
  <c r="B177" i="20"/>
  <c r="B178" i="20"/>
  <c r="B179" i="20"/>
  <c r="B180" i="20"/>
  <c r="D121" i="19"/>
  <c r="I57" i="19"/>
  <c r="D163" i="19"/>
  <c r="D122" i="19"/>
  <c r="D137" i="19"/>
  <c r="D123" i="19"/>
  <c r="A163" i="19"/>
  <c r="J57" i="19"/>
  <c r="E163" i="19"/>
  <c r="D120" i="19"/>
  <c r="I58" i="19"/>
  <c r="D164" i="19"/>
  <c r="A164" i="19"/>
  <c r="A165" i="19"/>
  <c r="A166" i="19"/>
  <c r="A167" i="19"/>
  <c r="A168" i="19"/>
  <c r="J58" i="19"/>
  <c r="E164" i="19"/>
  <c r="I59" i="19"/>
  <c r="D165" i="19"/>
  <c r="J59" i="19"/>
  <c r="E165" i="19"/>
  <c r="I60" i="19"/>
  <c r="D166" i="19"/>
  <c r="J60" i="19"/>
  <c r="E166" i="19"/>
  <c r="I61" i="19"/>
  <c r="D167" i="19"/>
  <c r="J61" i="19"/>
  <c r="E167" i="19"/>
  <c r="I62" i="19"/>
  <c r="D168" i="19"/>
  <c r="J62" i="19"/>
  <c r="E168" i="19"/>
  <c r="I63" i="19"/>
  <c r="D169" i="19"/>
  <c r="A169" i="19"/>
  <c r="A170" i="19"/>
  <c r="A171" i="19"/>
  <c r="A172" i="19"/>
  <c r="A173" i="19"/>
  <c r="J63" i="19"/>
  <c r="E169" i="19"/>
  <c r="I64" i="19"/>
  <c r="D170" i="19"/>
  <c r="J64" i="19"/>
  <c r="E170" i="19"/>
  <c r="I65" i="19"/>
  <c r="D171" i="19"/>
  <c r="J65" i="19"/>
  <c r="E171" i="19"/>
  <c r="I66" i="19"/>
  <c r="D172" i="19"/>
  <c r="J66" i="19"/>
  <c r="E172" i="19"/>
  <c r="I67" i="19"/>
  <c r="D173" i="19"/>
  <c r="J67" i="19"/>
  <c r="E173" i="19"/>
  <c r="I68" i="19"/>
  <c r="D174" i="19"/>
  <c r="A174" i="19"/>
  <c r="A175" i="19"/>
  <c r="A176" i="19"/>
  <c r="A177" i="19"/>
  <c r="J68" i="19"/>
  <c r="E174" i="19"/>
  <c r="I69" i="19"/>
  <c r="D175" i="19"/>
  <c r="J69" i="19"/>
  <c r="E175" i="19"/>
  <c r="I70" i="19"/>
  <c r="D176" i="19"/>
  <c r="J70" i="19"/>
  <c r="E176" i="19"/>
  <c r="I71" i="19"/>
  <c r="D177" i="19"/>
  <c r="J71" i="19"/>
  <c r="E177" i="19"/>
  <c r="I72" i="19"/>
  <c r="D178" i="19"/>
  <c r="A178" i="19"/>
  <c r="J72" i="19"/>
  <c r="E178" i="19"/>
  <c r="I73" i="19"/>
  <c r="D179" i="19"/>
  <c r="A179" i="19"/>
  <c r="J73" i="19"/>
  <c r="E179" i="19"/>
  <c r="I74" i="19"/>
  <c r="D180" i="19"/>
  <c r="A180" i="19"/>
  <c r="J74" i="19"/>
  <c r="E180" i="19"/>
  <c r="C193" i="19"/>
  <c r="D193" i="19"/>
  <c r="F83" i="19"/>
  <c r="E193" i="19"/>
  <c r="C194" i="19"/>
  <c r="D194" i="19"/>
  <c r="F88" i="19"/>
  <c r="E194" i="19"/>
  <c r="C195" i="19"/>
  <c r="D195" i="19"/>
  <c r="F92" i="19"/>
  <c r="E195" i="19"/>
  <c r="C196" i="19"/>
  <c r="D196" i="19"/>
  <c r="F97" i="19"/>
  <c r="E196" i="19"/>
  <c r="F107" i="19"/>
  <c r="D207" i="19"/>
  <c r="F108" i="19"/>
  <c r="D208" i="19"/>
  <c r="F110" i="19"/>
  <c r="D209" i="19"/>
  <c r="F111" i="19"/>
  <c r="D210" i="19"/>
  <c r="G134" i="19"/>
  <c r="G135" i="19"/>
  <c r="G136" i="19"/>
  <c r="G137" i="19"/>
  <c r="B163" i="19"/>
  <c r="B164" i="19"/>
  <c r="B165" i="19"/>
  <c r="B166" i="19"/>
  <c r="B167" i="19"/>
  <c r="B168" i="19"/>
  <c r="B169" i="19"/>
  <c r="B170" i="19"/>
  <c r="B171" i="19"/>
  <c r="B172" i="19"/>
  <c r="B173" i="19"/>
  <c r="B174" i="19"/>
  <c r="B175" i="19"/>
  <c r="B176" i="19"/>
  <c r="B177" i="19"/>
  <c r="B178" i="19"/>
  <c r="B179" i="19"/>
  <c r="B180" i="19"/>
  <c r="D143" i="27"/>
  <c r="D59" i="51"/>
  <c r="F195" i="26"/>
  <c r="I30" i="51"/>
  <c r="I42" i="51"/>
  <c r="D43" i="51"/>
  <c r="D44" i="51"/>
  <c r="E59" i="51"/>
  <c r="H180" i="27"/>
  <c r="H179" i="27"/>
  <c r="H178" i="27"/>
  <c r="H177" i="27"/>
  <c r="H176" i="27"/>
  <c r="H175" i="27"/>
  <c r="H174" i="27"/>
  <c r="H173" i="27"/>
  <c r="H172" i="27"/>
  <c r="H171" i="27"/>
  <c r="H170" i="27"/>
  <c r="H169" i="27"/>
  <c r="H168" i="27"/>
  <c r="H164" i="27"/>
  <c r="D144" i="27"/>
  <c r="J37" i="51"/>
  <c r="J38" i="51"/>
  <c r="I43" i="58"/>
  <c r="I29" i="58"/>
  <c r="I33" i="58"/>
  <c r="J16" i="28"/>
  <c r="D137" i="22"/>
  <c r="I16" i="28"/>
  <c r="D137" i="21" s="1"/>
  <c r="I50" i="59"/>
  <c r="I54" i="59"/>
  <c r="I79" i="59"/>
  <c r="I73" i="59"/>
  <c r="D45" i="26"/>
  <c r="I49" i="58"/>
  <c r="G163" i="26"/>
  <c r="G195" i="26"/>
  <c r="G194" i="26"/>
  <c r="G208" i="26"/>
  <c r="G164" i="26"/>
  <c r="G165" i="26"/>
  <c r="G166" i="26"/>
  <c r="G167" i="26"/>
  <c r="G168" i="26"/>
  <c r="G169" i="26"/>
  <c r="G170" i="26"/>
  <c r="G171" i="26"/>
  <c r="G172" i="26"/>
  <c r="G173" i="26"/>
  <c r="G174" i="26"/>
  <c r="G175" i="26"/>
  <c r="G176" i="26"/>
  <c r="G177" i="26"/>
  <c r="G178" i="26"/>
  <c r="G179" i="26"/>
  <c r="G180" i="26"/>
  <c r="G193" i="26"/>
  <c r="G207" i="26"/>
  <c r="G209" i="26"/>
  <c r="G196" i="26"/>
  <c r="G210" i="26"/>
  <c r="F163" i="26"/>
  <c r="F164" i="26"/>
  <c r="F165" i="26"/>
  <c r="F166" i="26"/>
  <c r="F167" i="26"/>
  <c r="F168" i="26"/>
  <c r="F169" i="26"/>
  <c r="F170" i="26"/>
  <c r="F171" i="26"/>
  <c r="F172" i="26"/>
  <c r="F173" i="26"/>
  <c r="F174" i="26"/>
  <c r="F175" i="26"/>
  <c r="F176" i="26"/>
  <c r="F177" i="26"/>
  <c r="F178" i="26"/>
  <c r="F179" i="26"/>
  <c r="F180" i="26"/>
  <c r="F208" i="26"/>
  <c r="F193" i="26"/>
  <c r="F207" i="26"/>
  <c r="F209" i="26"/>
  <c r="F196" i="26"/>
  <c r="F210" i="26"/>
  <c r="F163" i="27"/>
  <c r="F207" i="27"/>
  <c r="F195" i="27"/>
  <c r="F208" i="27"/>
  <c r="F164" i="27"/>
  <c r="F165" i="27"/>
  <c r="F166" i="27"/>
  <c r="F167" i="27"/>
  <c r="F168" i="27"/>
  <c r="F169" i="27"/>
  <c r="F170" i="27"/>
  <c r="F171" i="27"/>
  <c r="F172" i="27"/>
  <c r="F173" i="27"/>
  <c r="F174" i="27"/>
  <c r="F175" i="27"/>
  <c r="F176" i="27"/>
  <c r="F177" i="27"/>
  <c r="F178" i="27"/>
  <c r="F179" i="27"/>
  <c r="F180" i="27"/>
  <c r="F194" i="27"/>
  <c r="F209" i="27"/>
  <c r="F210" i="27"/>
  <c r="J30" i="51"/>
  <c r="F54" i="51"/>
  <c r="G12" i="51"/>
  <c r="K37" i="51"/>
  <c r="K38" i="51"/>
  <c r="K207" i="26"/>
  <c r="K195" i="26"/>
  <c r="K163" i="26"/>
  <c r="K164" i="26"/>
  <c r="K165" i="26"/>
  <c r="K166" i="26"/>
  <c r="K167" i="26"/>
  <c r="K168" i="26"/>
  <c r="K169" i="26"/>
  <c r="K170" i="26"/>
  <c r="K171" i="26"/>
  <c r="K172" i="26"/>
  <c r="K173" i="26"/>
  <c r="K174" i="26"/>
  <c r="K175" i="26"/>
  <c r="K176" i="26"/>
  <c r="K177" i="26"/>
  <c r="K178" i="26"/>
  <c r="K179" i="26"/>
  <c r="K180" i="26"/>
  <c r="K194" i="26"/>
  <c r="K208" i="26"/>
  <c r="K193" i="26"/>
  <c r="K209" i="26"/>
  <c r="D145" i="26"/>
  <c r="K196" i="26"/>
  <c r="K210" i="26"/>
  <c r="F193" i="27"/>
  <c r="H209" i="27"/>
  <c r="H195" i="27"/>
  <c r="H210" i="27"/>
  <c r="H207" i="27"/>
  <c r="H208" i="27"/>
  <c r="H17" i="51"/>
  <c r="G59" i="51"/>
  <c r="F194" i="26"/>
  <c r="F196" i="27"/>
  <c r="I196" i="27"/>
  <c r="J196" i="27"/>
  <c r="G164" i="27"/>
  <c r="G165" i="27"/>
  <c r="G166" i="27"/>
  <c r="G167" i="27"/>
  <c r="G168" i="27"/>
  <c r="G169" i="27"/>
  <c r="G170" i="27"/>
  <c r="G171" i="27"/>
  <c r="G172" i="27"/>
  <c r="G173" i="27"/>
  <c r="G174" i="27"/>
  <c r="G175" i="27"/>
  <c r="G176" i="27"/>
  <c r="G177" i="27"/>
  <c r="G178" i="27"/>
  <c r="G179" i="27"/>
  <c r="G180" i="27"/>
  <c r="G193" i="27"/>
  <c r="G210" i="27"/>
  <c r="G163" i="27"/>
  <c r="G196" i="27"/>
  <c r="G207" i="27"/>
  <c r="G195" i="27"/>
  <c r="G208" i="27"/>
  <c r="G194" i="27"/>
  <c r="G209" i="27"/>
  <c r="D141" i="26"/>
  <c r="H163" i="26"/>
  <c r="D40" i="27"/>
  <c r="D41" i="27"/>
  <c r="D45" i="27"/>
  <c r="E54" i="51"/>
  <c r="A77" i="59"/>
  <c r="A79" i="59"/>
  <c r="A82" i="59"/>
  <c r="A84" i="59"/>
  <c r="A75" i="59"/>
  <c r="K16" i="28"/>
  <c r="D137" i="23"/>
  <c r="A72" i="58"/>
  <c r="A74" i="58"/>
  <c r="A71" i="58"/>
  <c r="H16" i="28"/>
  <c r="D137" i="20" s="1"/>
  <c r="D13" i="28"/>
  <c r="D14" i="28"/>
  <c r="D15" i="28"/>
  <c r="H8" i="28"/>
  <c r="D129" i="20" s="1"/>
  <c r="K53" i="58"/>
  <c r="I39" i="59"/>
  <c r="I43" i="59"/>
  <c r="I29" i="59"/>
  <c r="I33" i="59"/>
  <c r="I56" i="59"/>
  <c r="I22" i="58"/>
  <c r="I82" i="59"/>
  <c r="I88" i="59"/>
  <c r="I53" i="58"/>
  <c r="K56" i="59"/>
  <c r="J42" i="51"/>
  <c r="I56" i="58"/>
  <c r="E43" i="51"/>
  <c r="I58" i="59"/>
  <c r="I60" i="59"/>
  <c r="I64" i="59"/>
  <c r="K193" i="27"/>
  <c r="K210" i="27"/>
  <c r="K196" i="27"/>
  <c r="L196" i="27"/>
  <c r="K207" i="27"/>
  <c r="K195" i="27"/>
  <c r="K208" i="27"/>
  <c r="K163" i="27"/>
  <c r="K164" i="27"/>
  <c r="K165" i="27"/>
  <c r="K166" i="27"/>
  <c r="K167" i="27"/>
  <c r="K168" i="27"/>
  <c r="K169" i="27"/>
  <c r="K170" i="27"/>
  <c r="K171" i="27"/>
  <c r="K172" i="27"/>
  <c r="K173" i="27"/>
  <c r="K174" i="27"/>
  <c r="K175" i="27"/>
  <c r="K176" i="27"/>
  <c r="K177" i="27"/>
  <c r="K178" i="27"/>
  <c r="K179" i="27"/>
  <c r="K180" i="27"/>
  <c r="K194" i="27"/>
  <c r="K209" i="27"/>
  <c r="D145" i="27"/>
  <c r="E41" i="51"/>
  <c r="E44" i="51"/>
  <c r="I180" i="27"/>
  <c r="J180" i="27"/>
  <c r="I176" i="27"/>
  <c r="J176" i="27"/>
  <c r="I172" i="27"/>
  <c r="J172" i="27"/>
  <c r="I168" i="27"/>
  <c r="J168" i="27"/>
  <c r="I164" i="27"/>
  <c r="J164" i="27"/>
  <c r="I163" i="27"/>
  <c r="J163" i="27"/>
  <c r="I15" i="28"/>
  <c r="D136" i="21"/>
  <c r="G15" i="28"/>
  <c r="D136" i="19"/>
  <c r="H15" i="28"/>
  <c r="D136" i="20"/>
  <c r="L15" i="28"/>
  <c r="A76" i="58"/>
  <c r="A78" i="58"/>
  <c r="A80" i="58"/>
  <c r="A82" i="58"/>
  <c r="A84" i="58"/>
  <c r="I17" i="51"/>
  <c r="H59" i="51"/>
  <c r="I193" i="27"/>
  <c r="J193" i="27"/>
  <c r="L37" i="51"/>
  <c r="L38" i="51"/>
  <c r="H12" i="51"/>
  <c r="G54" i="51"/>
  <c r="I210" i="27"/>
  <c r="J210" i="27"/>
  <c r="I179" i="27"/>
  <c r="J179" i="27"/>
  <c r="I175" i="27"/>
  <c r="J175" i="27"/>
  <c r="I171" i="27"/>
  <c r="J171" i="27"/>
  <c r="I167" i="27"/>
  <c r="J167" i="27"/>
  <c r="I208" i="27"/>
  <c r="J208" i="27"/>
  <c r="I163" i="26"/>
  <c r="J163" i="26"/>
  <c r="I58" i="58"/>
  <c r="I60" i="58"/>
  <c r="I64" i="58"/>
  <c r="I14" i="28"/>
  <c r="D135" i="21" s="1"/>
  <c r="G14" i="28"/>
  <c r="D135" i="19" s="1"/>
  <c r="L14" i="28"/>
  <c r="D134" i="25" s="1"/>
  <c r="H14" i="28"/>
  <c r="D135" i="20"/>
  <c r="H210" i="26"/>
  <c r="I210" i="26"/>
  <c r="J210" i="26"/>
  <c r="L210" i="26"/>
  <c r="H164" i="26"/>
  <c r="I164" i="26"/>
  <c r="J164" i="26"/>
  <c r="L164" i="26"/>
  <c r="H165" i="26"/>
  <c r="I165" i="26"/>
  <c r="J165" i="26"/>
  <c r="L165" i="26"/>
  <c r="H166" i="26"/>
  <c r="I166" i="26"/>
  <c r="J166" i="26"/>
  <c r="L166" i="26"/>
  <c r="H167" i="26"/>
  <c r="I167" i="26"/>
  <c r="J167" i="26"/>
  <c r="L167" i="26"/>
  <c r="H168" i="26"/>
  <c r="I168" i="26"/>
  <c r="J168" i="26"/>
  <c r="L168" i="26"/>
  <c r="H169" i="26"/>
  <c r="I169" i="26"/>
  <c r="J169" i="26"/>
  <c r="L169" i="26"/>
  <c r="H170" i="26"/>
  <c r="I170" i="26"/>
  <c r="J170" i="26"/>
  <c r="L170" i="26"/>
  <c r="H171" i="26"/>
  <c r="I171" i="26"/>
  <c r="J171" i="26"/>
  <c r="L171" i="26"/>
  <c r="H172" i="26"/>
  <c r="I172" i="26"/>
  <c r="J172" i="26"/>
  <c r="L172" i="26"/>
  <c r="H173" i="26"/>
  <c r="H174" i="26"/>
  <c r="I174" i="26"/>
  <c r="J174" i="26"/>
  <c r="L174" i="26"/>
  <c r="H175" i="26"/>
  <c r="I175" i="26"/>
  <c r="J175" i="26"/>
  <c r="L175" i="26"/>
  <c r="H176" i="26"/>
  <c r="I176" i="26"/>
  <c r="J176" i="26"/>
  <c r="L176" i="26"/>
  <c r="H177" i="26"/>
  <c r="H178" i="26"/>
  <c r="H179" i="26"/>
  <c r="I179" i="26"/>
  <c r="J179" i="26"/>
  <c r="L179" i="26"/>
  <c r="H180" i="26"/>
  <c r="I180" i="26"/>
  <c r="J180" i="26"/>
  <c r="L180" i="26"/>
  <c r="H193" i="26"/>
  <c r="I193" i="26"/>
  <c r="J193" i="26"/>
  <c r="L193" i="26"/>
  <c r="H208" i="26"/>
  <c r="I208" i="26"/>
  <c r="J208" i="26"/>
  <c r="L208" i="26"/>
  <c r="H207" i="26"/>
  <c r="I207" i="26"/>
  <c r="J207" i="26"/>
  <c r="L207" i="26"/>
  <c r="H209" i="26"/>
  <c r="I209" i="26"/>
  <c r="J209" i="26"/>
  <c r="L209" i="26"/>
  <c r="L163" i="26"/>
  <c r="H195" i="26"/>
  <c r="I195" i="26"/>
  <c r="J195" i="26"/>
  <c r="K30" i="51"/>
  <c r="I209" i="27"/>
  <c r="J209" i="27"/>
  <c r="I178" i="27"/>
  <c r="J178" i="27"/>
  <c r="I174" i="27"/>
  <c r="J174" i="27"/>
  <c r="I170" i="27"/>
  <c r="J170" i="27"/>
  <c r="I166" i="27"/>
  <c r="J166" i="27"/>
  <c r="I195" i="27"/>
  <c r="J195" i="27"/>
  <c r="I178" i="26"/>
  <c r="J178" i="26"/>
  <c r="L178" i="26"/>
  <c r="I13" i="28"/>
  <c r="D134" i="21" s="1"/>
  <c r="G13" i="28"/>
  <c r="D134" i="19" s="1"/>
  <c r="H13" i="28"/>
  <c r="D134" i="20" s="1"/>
  <c r="L13" i="28"/>
  <c r="D133" i="25" s="1"/>
  <c r="A88" i="59"/>
  <c r="A93" i="59"/>
  <c r="A86" i="59"/>
  <c r="L195" i="26"/>
  <c r="H196" i="26"/>
  <c r="H194" i="26"/>
  <c r="I194" i="26"/>
  <c r="J194" i="26"/>
  <c r="L194" i="26"/>
  <c r="I194" i="27"/>
  <c r="J194" i="27"/>
  <c r="I177" i="27"/>
  <c r="J177" i="27"/>
  <c r="I173" i="27"/>
  <c r="J173" i="27"/>
  <c r="I169" i="27"/>
  <c r="J169" i="27"/>
  <c r="I165" i="27"/>
  <c r="J165" i="27"/>
  <c r="I207" i="27"/>
  <c r="J207" i="27"/>
  <c r="I196" i="26"/>
  <c r="J196" i="26"/>
  <c r="L196" i="26"/>
  <c r="I177" i="26"/>
  <c r="J177" i="26"/>
  <c r="L177" i="26"/>
  <c r="I173" i="26"/>
  <c r="J173" i="26"/>
  <c r="L173" i="26"/>
  <c r="L212" i="26"/>
  <c r="K42" i="51"/>
  <c r="F43" i="51"/>
  <c r="I101" i="58"/>
  <c r="K64" i="58"/>
  <c r="L198" i="26"/>
  <c r="A98" i="59"/>
  <c r="A101" i="59"/>
  <c r="J17" i="51"/>
  <c r="F41" i="51"/>
  <c r="F44" i="51"/>
  <c r="L179" i="27"/>
  <c r="L175" i="27"/>
  <c r="L171" i="27"/>
  <c r="L167" i="27"/>
  <c r="L163" i="27"/>
  <c r="M37" i="51"/>
  <c r="M38" i="51" s="1"/>
  <c r="L209" i="27"/>
  <c r="L178" i="27"/>
  <c r="L174" i="27"/>
  <c r="L170" i="27"/>
  <c r="L166" i="27"/>
  <c r="L208" i="27"/>
  <c r="L210" i="27"/>
  <c r="K64" i="59"/>
  <c r="I101" i="59"/>
  <c r="L185" i="26"/>
  <c r="D135" i="24"/>
  <c r="A88" i="58"/>
  <c r="A93" i="58"/>
  <c r="A98" i="58"/>
  <c r="A101" i="58"/>
  <c r="A86" i="58"/>
  <c r="D135" i="25"/>
  <c r="D136" i="24"/>
  <c r="D29" i="21"/>
  <c r="L194" i="27"/>
  <c r="L177" i="27"/>
  <c r="L173" i="27"/>
  <c r="L169" i="27"/>
  <c r="L165" i="27"/>
  <c r="L195" i="27"/>
  <c r="L193" i="27"/>
  <c r="D134" i="24"/>
  <c r="L30" i="51"/>
  <c r="I12" i="51"/>
  <c r="H54" i="51"/>
  <c r="D29" i="22"/>
  <c r="D30" i="21"/>
  <c r="L180" i="27"/>
  <c r="L176" i="27"/>
  <c r="L172" i="27"/>
  <c r="L168" i="27"/>
  <c r="L164" i="27"/>
  <c r="L207" i="27"/>
  <c r="L212" i="27"/>
  <c r="G43" i="51"/>
  <c r="L42" i="51"/>
  <c r="M30" i="51"/>
  <c r="N37" i="51"/>
  <c r="N38" i="51" s="1"/>
  <c r="K17" i="51"/>
  <c r="J59" i="51"/>
  <c r="J12" i="51"/>
  <c r="L198" i="27"/>
  <c r="L214" i="26"/>
  <c r="L185" i="27"/>
  <c r="G41" i="51"/>
  <c r="G44" i="51"/>
  <c r="M42" i="51"/>
  <c r="H43" i="51"/>
  <c r="O37" i="51"/>
  <c r="O38" i="51"/>
  <c r="N30" i="51"/>
  <c r="H41" i="51"/>
  <c r="H44" i="51" s="1"/>
  <c r="F7" i="26"/>
  <c r="L218" i="26"/>
  <c r="D4" i="26"/>
  <c r="P214" i="26"/>
  <c r="L17" i="51"/>
  <c r="L214" i="27"/>
  <c r="J54" i="51"/>
  <c r="K12" i="51"/>
  <c r="D30" i="23"/>
  <c r="N42" i="51"/>
  <c r="I43" i="51"/>
  <c r="F7" i="27"/>
  <c r="L218" i="27"/>
  <c r="D4" i="27"/>
  <c r="P214" i="27"/>
  <c r="P37" i="51"/>
  <c r="P38" i="51" s="1"/>
  <c r="L12" i="51"/>
  <c r="I41" i="51"/>
  <c r="I44" i="51" s="1"/>
  <c r="M17" i="51"/>
  <c r="L59" i="51"/>
  <c r="O30" i="51"/>
  <c r="O42" i="51"/>
  <c r="J43" i="51"/>
  <c r="P30" i="51"/>
  <c r="Q37" i="51"/>
  <c r="Q38" i="51" s="1"/>
  <c r="R37" i="51"/>
  <c r="R38" i="51" s="1"/>
  <c r="N17" i="51"/>
  <c r="M59" i="51"/>
  <c r="M12" i="51"/>
  <c r="L54" i="51"/>
  <c r="J41" i="51"/>
  <c r="J44" i="51" s="1"/>
  <c r="K43" i="51"/>
  <c r="P42" i="51"/>
  <c r="N12" i="51"/>
  <c r="M54" i="51"/>
  <c r="Q30" i="51"/>
  <c r="R30" i="51"/>
  <c r="K41" i="51"/>
  <c r="K44" i="51" s="1"/>
  <c r="O17" i="51"/>
  <c r="N59" i="51"/>
  <c r="L43" i="51"/>
  <c r="R42" i="51"/>
  <c r="Q42" i="51"/>
  <c r="P17" i="51"/>
  <c r="O59" i="51"/>
  <c r="L41" i="51"/>
  <c r="N54" i="51"/>
  <c r="O12" i="51"/>
  <c r="L44" i="51"/>
  <c r="M43" i="51"/>
  <c r="P12" i="51"/>
  <c r="O54" i="51"/>
  <c r="M41" i="51"/>
  <c r="M44" i="51" s="1"/>
  <c r="Q17" i="51"/>
  <c r="P59" i="51"/>
  <c r="N43" i="51"/>
  <c r="N41" i="51"/>
  <c r="N44" i="51"/>
  <c r="R17" i="51"/>
  <c r="Q12" i="51"/>
  <c r="P54" i="51"/>
  <c r="O43" i="51"/>
  <c r="R59" i="51"/>
  <c r="O41" i="51"/>
  <c r="R12" i="51"/>
  <c r="O44" i="51"/>
  <c r="P43" i="51"/>
  <c r="R54" i="51"/>
  <c r="P41" i="51"/>
  <c r="P44" i="51"/>
  <c r="R43" i="51"/>
  <c r="Q43" i="51"/>
  <c r="R41" i="51"/>
  <c r="R44" i="51"/>
  <c r="Q41" i="51"/>
  <c r="Q44" i="51"/>
  <c r="E29" i="19"/>
  <c r="C29" i="19"/>
  <c r="D29" i="24"/>
  <c r="D39" i="24" s="1"/>
  <c r="E29" i="21"/>
  <c r="C29" i="21"/>
  <c r="E29" i="23"/>
  <c r="D29" i="23"/>
  <c r="E30" i="21"/>
  <c r="C30" i="21"/>
  <c r="D39" i="21"/>
  <c r="E30" i="23"/>
  <c r="C30" i="23"/>
  <c r="D30" i="24"/>
  <c r="E30" i="24"/>
  <c r="D30" i="22"/>
  <c r="C32" i="21"/>
  <c r="E29" i="22"/>
  <c r="D30" i="20"/>
  <c r="C30" i="20" s="1"/>
  <c r="C32" i="22"/>
  <c r="C36" i="22" s="1"/>
  <c r="C32" i="19"/>
  <c r="D39" i="23"/>
  <c r="C29" i="23"/>
  <c r="E29" i="24"/>
  <c r="E30" i="22"/>
  <c r="C30" i="22"/>
  <c r="D43" i="24"/>
  <c r="D29" i="20"/>
  <c r="C29" i="20" s="1"/>
  <c r="D29" i="25"/>
  <c r="C30" i="24"/>
  <c r="C32" i="24"/>
  <c r="C32" i="20"/>
  <c r="C31" i="25"/>
  <c r="C32" i="23"/>
  <c r="E30" i="20"/>
  <c r="E29" i="20"/>
  <c r="D43" i="22"/>
  <c r="E29" i="25"/>
  <c r="D91" i="51"/>
  <c r="F86" i="51"/>
  <c r="D43" i="19"/>
  <c r="D43" i="21"/>
  <c r="D42" i="25"/>
  <c r="C29" i="25"/>
  <c r="D43" i="23"/>
  <c r="D43" i="20"/>
  <c r="F91" i="51"/>
  <c r="D86" i="51"/>
  <c r="D92" i="51"/>
  <c r="E86" i="51"/>
  <c r="G86" i="51"/>
  <c r="C87" i="51"/>
  <c r="E91" i="51"/>
  <c r="G91" i="51"/>
  <c r="G88" i="51"/>
  <c r="E87" i="51"/>
  <c r="H92" i="51"/>
  <c r="I92" i="51"/>
  <c r="J92" i="51" s="1"/>
  <c r="K92" i="51" s="1"/>
  <c r="L92" i="51" s="1"/>
  <c r="M92" i="51" s="1"/>
  <c r="N92" i="51" s="1"/>
  <c r="H86" i="51"/>
  <c r="I86" i="51"/>
  <c r="J86" i="51"/>
  <c r="K86" i="51" s="1"/>
  <c r="L86" i="51" s="1"/>
  <c r="M86" i="51" s="1"/>
  <c r="N86" i="51"/>
  <c r="O86" i="51" s="1"/>
  <c r="P86" i="51" s="1"/>
  <c r="Q86" i="51" s="1"/>
  <c r="R86" i="51" s="1"/>
  <c r="E93" i="51"/>
  <c r="C91" i="51"/>
  <c r="C92" i="51"/>
  <c r="H87" i="51"/>
  <c r="I87" i="51" s="1"/>
  <c r="J87" i="51" s="1"/>
  <c r="K87" i="51" s="1"/>
  <c r="L87" i="51"/>
  <c r="M87" i="51" s="1"/>
  <c r="N87" i="51" s="1"/>
  <c r="O87" i="51" s="1"/>
  <c r="O114" i="51" s="1"/>
  <c r="O119" i="51" s="1"/>
  <c r="E92" i="51"/>
  <c r="G87" i="51"/>
  <c r="E88" i="51"/>
  <c r="H91" i="51"/>
  <c r="I91" i="51"/>
  <c r="J91" i="51"/>
  <c r="K91" i="51" s="1"/>
  <c r="L91" i="51" s="1"/>
  <c r="M91" i="51" s="1"/>
  <c r="N91" i="51"/>
  <c r="O91" i="51" s="1"/>
  <c r="P91" i="51" s="1"/>
  <c r="Q91" i="51" s="1"/>
  <c r="R91" i="51" s="1"/>
  <c r="G93" i="51"/>
  <c r="D88" i="51"/>
  <c r="D93" i="51"/>
  <c r="F93" i="51"/>
  <c r="D87" i="51"/>
  <c r="C86" i="51"/>
  <c r="F92" i="51"/>
  <c r="F87" i="51"/>
  <c r="G92" i="51"/>
  <c r="C93" i="51"/>
  <c r="C88" i="51"/>
  <c r="E31" i="51"/>
  <c r="D31" i="51"/>
  <c r="H31" i="51"/>
  <c r="G31" i="51"/>
  <c r="F31" i="51"/>
  <c r="E30" i="25"/>
  <c r="E30" i="19"/>
  <c r="D30" i="19"/>
  <c r="C30" i="19" s="1"/>
  <c r="D30" i="25"/>
  <c r="H88" i="51"/>
  <c r="I88" i="51"/>
  <c r="J88" i="51"/>
  <c r="K88" i="51"/>
  <c r="L88" i="51" s="1"/>
  <c r="M88" i="51" s="1"/>
  <c r="N88" i="51" s="1"/>
  <c r="O88" i="51" s="1"/>
  <c r="P88" i="51" s="1"/>
  <c r="Q88" i="51" s="1"/>
  <c r="R88" i="51" s="1"/>
  <c r="F88" i="51"/>
  <c r="H93" i="51"/>
  <c r="I93" i="51"/>
  <c r="J93" i="51"/>
  <c r="K93" i="51"/>
  <c r="L93" i="51" s="1"/>
  <c r="M93" i="51" s="1"/>
  <c r="N93" i="51" s="1"/>
  <c r="O93" i="51"/>
  <c r="P93" i="51" s="1"/>
  <c r="Q93" i="51" s="1"/>
  <c r="R93" i="51" s="1"/>
  <c r="G29" i="51"/>
  <c r="D29" i="51"/>
  <c r="H29" i="51"/>
  <c r="C29" i="51"/>
  <c r="C53" i="51" s="1"/>
  <c r="C66" i="51" s="1"/>
  <c r="F29" i="51"/>
  <c r="I31" i="51"/>
  <c r="E29" i="51"/>
  <c r="E32" i="51" s="1"/>
  <c r="C31" i="51"/>
  <c r="C30" i="25"/>
  <c r="D39" i="19"/>
  <c r="E53" i="51"/>
  <c r="E58" i="51"/>
  <c r="G32" i="51"/>
  <c r="H53" i="51"/>
  <c r="H32" i="51"/>
  <c r="H58" i="51"/>
  <c r="H113" i="51" s="1"/>
  <c r="H118" i="51" s="1"/>
  <c r="D58" i="51"/>
  <c r="D32" i="51"/>
  <c r="D53" i="51"/>
  <c r="C58" i="51"/>
  <c r="C72" i="51" s="1"/>
  <c r="C99" i="51" s="1"/>
  <c r="I29" i="51"/>
  <c r="I58" i="51" s="1"/>
  <c r="I72" i="51" s="1"/>
  <c r="J31" i="51"/>
  <c r="I32" i="51"/>
  <c r="K31" i="51"/>
  <c r="J29" i="51"/>
  <c r="J58" i="51" s="1"/>
  <c r="C35" i="19"/>
  <c r="C36" i="19"/>
  <c r="C34" i="25"/>
  <c r="C35" i="25"/>
  <c r="C35" i="20"/>
  <c r="C36" i="20"/>
  <c r="C35" i="21"/>
  <c r="C36" i="21"/>
  <c r="C35" i="22"/>
  <c r="C35" i="23"/>
  <c r="C36" i="23"/>
  <c r="C35" i="24"/>
  <c r="C36" i="24"/>
  <c r="L31" i="51"/>
  <c r="J8" i="51"/>
  <c r="K29" i="51"/>
  <c r="Q8" i="51"/>
  <c r="O8" i="51"/>
  <c r="R8" i="51"/>
  <c r="G8" i="51"/>
  <c r="G14" i="51" s="1"/>
  <c r="P7" i="51"/>
  <c r="Q19" i="51"/>
  <c r="Q14" i="51"/>
  <c r="K8" i="51"/>
  <c r="K14" i="51" s="1"/>
  <c r="K23" i="51" s="1"/>
  <c r="N8" i="51"/>
  <c r="P8" i="51"/>
  <c r="M31" i="51"/>
  <c r="I9" i="51"/>
  <c r="O19" i="51"/>
  <c r="O73" i="51"/>
  <c r="O14" i="51"/>
  <c r="O23" i="51" s="1"/>
  <c r="P9" i="51"/>
  <c r="L8" i="51"/>
  <c r="L29" i="51"/>
  <c r="L58" i="51" s="1"/>
  <c r="R19" i="51"/>
  <c r="R14" i="51"/>
  <c r="I7" i="51"/>
  <c r="M7" i="51"/>
  <c r="M13" i="51" s="1"/>
  <c r="I8" i="51"/>
  <c r="M8" i="51"/>
  <c r="D8" i="51"/>
  <c r="K32" i="51"/>
  <c r="K58" i="51"/>
  <c r="K113" i="51" s="1"/>
  <c r="K118" i="51" s="1"/>
  <c r="K53" i="51"/>
  <c r="N7" i="51"/>
  <c r="M9" i="51"/>
  <c r="M20" i="51" s="1"/>
  <c r="M15" i="51"/>
  <c r="N13" i="51"/>
  <c r="N18" i="51"/>
  <c r="N22" i="51" s="1"/>
  <c r="M18" i="51"/>
  <c r="R67" i="51"/>
  <c r="L32" i="51"/>
  <c r="O9" i="51"/>
  <c r="P19" i="51"/>
  <c r="P73" i="51" s="1"/>
  <c r="Q9" i="51"/>
  <c r="Q15" i="51" s="1"/>
  <c r="K19" i="51"/>
  <c r="Q23" i="51"/>
  <c r="L9" i="51"/>
  <c r="L20" i="51" s="1"/>
  <c r="K7" i="51"/>
  <c r="R7" i="51"/>
  <c r="M14" i="51"/>
  <c r="M19" i="51"/>
  <c r="M73" i="51" s="1"/>
  <c r="I19" i="51"/>
  <c r="I18" i="51"/>
  <c r="I99" i="51"/>
  <c r="I10" i="51"/>
  <c r="I13" i="51"/>
  <c r="C8" i="51"/>
  <c r="P20" i="51"/>
  <c r="P15" i="51"/>
  <c r="N31" i="51"/>
  <c r="K9" i="51"/>
  <c r="D114" i="51"/>
  <c r="D119" i="51" s="1"/>
  <c r="D19" i="51"/>
  <c r="D73" i="51"/>
  <c r="D103" i="51"/>
  <c r="D14" i="51"/>
  <c r="D67" i="51" s="1"/>
  <c r="Q7" i="51"/>
  <c r="R9" i="51"/>
  <c r="M29" i="51"/>
  <c r="I20" i="51"/>
  <c r="I15" i="51"/>
  <c r="H8" i="51"/>
  <c r="H14" i="51" s="1"/>
  <c r="N19" i="51"/>
  <c r="N73" i="51"/>
  <c r="N14" i="51"/>
  <c r="N23" i="51" s="1"/>
  <c r="G19" i="51"/>
  <c r="G73" i="51" s="1"/>
  <c r="G103" i="51" s="1"/>
  <c r="G114" i="51"/>
  <c r="G119" i="51" s="1"/>
  <c r="G9" i="51"/>
  <c r="D9" i="51"/>
  <c r="L19" i="51"/>
  <c r="L73" i="51" s="1"/>
  <c r="L103" i="51" s="1"/>
  <c r="L14" i="51"/>
  <c r="L7" i="51"/>
  <c r="J7" i="51"/>
  <c r="N9" i="51"/>
  <c r="J9" i="51"/>
  <c r="P10" i="51"/>
  <c r="P13" i="51"/>
  <c r="P22" i="51" s="1"/>
  <c r="P18" i="51"/>
  <c r="O7" i="51"/>
  <c r="O13" i="51" s="1"/>
  <c r="O66" i="51" s="1"/>
  <c r="P24" i="51"/>
  <c r="O18" i="51"/>
  <c r="O10" i="51"/>
  <c r="J20" i="51"/>
  <c r="J15" i="51"/>
  <c r="J24" i="51" s="1"/>
  <c r="N15" i="51"/>
  <c r="N20" i="51"/>
  <c r="J18" i="51"/>
  <c r="J72" i="51" s="1"/>
  <c r="J99" i="51" s="1"/>
  <c r="L18" i="51"/>
  <c r="L72" i="51"/>
  <c r="L99" i="51" s="1"/>
  <c r="L13" i="51"/>
  <c r="L10" i="51"/>
  <c r="M32" i="51"/>
  <c r="H9" i="51"/>
  <c r="O31" i="51"/>
  <c r="C14" i="51"/>
  <c r="C19" i="51"/>
  <c r="R18" i="51"/>
  <c r="R13" i="51"/>
  <c r="R10" i="51"/>
  <c r="G67" i="51"/>
  <c r="G79" i="51" s="1"/>
  <c r="G23" i="51"/>
  <c r="R15" i="51"/>
  <c r="R20" i="51"/>
  <c r="G7" i="51"/>
  <c r="G18" i="51" s="1"/>
  <c r="D20" i="51"/>
  <c r="D24" i="51" s="1"/>
  <c r="D15" i="51"/>
  <c r="D7" i="51"/>
  <c r="H114" i="51"/>
  <c r="H119" i="51" s="1"/>
  <c r="N29" i="51"/>
  <c r="C9" i="51"/>
  <c r="M67" i="51"/>
  <c r="M23" i="51"/>
  <c r="Q10" i="51"/>
  <c r="Q20" i="51"/>
  <c r="F9" i="51"/>
  <c r="O20" i="51"/>
  <c r="O15" i="51"/>
  <c r="F8" i="51"/>
  <c r="Q18" i="51"/>
  <c r="Q13" i="51"/>
  <c r="Q22" i="51" s="1"/>
  <c r="K20" i="51"/>
  <c r="K24" i="51" s="1"/>
  <c r="K15" i="51"/>
  <c r="K18" i="51"/>
  <c r="K72" i="51" s="1"/>
  <c r="K99" i="51" s="1"/>
  <c r="K13" i="51"/>
  <c r="K22" i="51" s="1"/>
  <c r="K10" i="51"/>
  <c r="C7" i="51"/>
  <c r="N10" i="51"/>
  <c r="G20" i="51"/>
  <c r="G15" i="51"/>
  <c r="I24" i="51"/>
  <c r="D23" i="51"/>
  <c r="I22" i="51"/>
  <c r="G24" i="51"/>
  <c r="E9" i="51"/>
  <c r="E8" i="51"/>
  <c r="F15" i="51"/>
  <c r="F20" i="51"/>
  <c r="F19" i="51"/>
  <c r="F73" i="51"/>
  <c r="F103" i="51"/>
  <c r="F14" i="51"/>
  <c r="Q24" i="51"/>
  <c r="D10" i="51"/>
  <c r="D113" i="51"/>
  <c r="D118" i="51" s="1"/>
  <c r="D18" i="51"/>
  <c r="D72" i="51"/>
  <c r="D99" i="51" s="1"/>
  <c r="D13" i="51"/>
  <c r="P31" i="51"/>
  <c r="L22" i="51"/>
  <c r="O22" i="51"/>
  <c r="O29" i="51"/>
  <c r="D102" i="51"/>
  <c r="D79" i="51"/>
  <c r="N32" i="51"/>
  <c r="N58" i="51"/>
  <c r="N72" i="51"/>
  <c r="N99" i="51" s="1"/>
  <c r="N53" i="51"/>
  <c r="R24" i="51"/>
  <c r="C23" i="51"/>
  <c r="C67" i="51"/>
  <c r="F7" i="51"/>
  <c r="C13" i="51"/>
  <c r="C113" i="51"/>
  <c r="C118" i="51"/>
  <c r="C18" i="51"/>
  <c r="C10" i="51"/>
  <c r="C15" i="51"/>
  <c r="C20" i="51"/>
  <c r="H7" i="51"/>
  <c r="R22" i="51"/>
  <c r="H20" i="51"/>
  <c r="H15" i="51"/>
  <c r="H24" i="51" s="1"/>
  <c r="N24" i="51"/>
  <c r="F24" i="51"/>
  <c r="C24" i="51"/>
  <c r="E15" i="51"/>
  <c r="E20" i="51"/>
  <c r="E19" i="51"/>
  <c r="E73" i="51" s="1"/>
  <c r="E114" i="51"/>
  <c r="E119" i="51"/>
  <c r="E14" i="51"/>
  <c r="E7" i="51"/>
  <c r="F13" i="51"/>
  <c r="F22" i="51" s="1"/>
  <c r="F10" i="51"/>
  <c r="F18" i="51"/>
  <c r="P29" i="51"/>
  <c r="N113" i="51"/>
  <c r="N118" i="51" s="1"/>
  <c r="N66" i="51"/>
  <c r="O53" i="51"/>
  <c r="O32" i="51"/>
  <c r="O58" i="51"/>
  <c r="O72" i="51"/>
  <c r="O99" i="51"/>
  <c r="Q31" i="51"/>
  <c r="C22" i="51"/>
  <c r="F67" i="51"/>
  <c r="F79" i="51" s="1"/>
  <c r="F23" i="51"/>
  <c r="H18" i="51"/>
  <c r="H13" i="51"/>
  <c r="H66" i="51" s="1"/>
  <c r="H10" i="51"/>
  <c r="D66" i="51"/>
  <c r="D78" i="51" s="1"/>
  <c r="D22" i="51"/>
  <c r="E67" i="51"/>
  <c r="E10" i="51"/>
  <c r="E18" i="51"/>
  <c r="E72" i="51" s="1"/>
  <c r="E99" i="51" s="1"/>
  <c r="E113" i="51"/>
  <c r="E118" i="51" s="1"/>
  <c r="E13" i="51"/>
  <c r="E24" i="51"/>
  <c r="D98" i="51"/>
  <c r="F102" i="51"/>
  <c r="P32" i="51"/>
  <c r="P58" i="51"/>
  <c r="P72" i="51"/>
  <c r="P99" i="51" s="1"/>
  <c r="P53" i="51"/>
  <c r="O113" i="51"/>
  <c r="O118" i="51"/>
  <c r="N98" i="51"/>
  <c r="R31" i="51"/>
  <c r="Q29" i="51"/>
  <c r="E66" i="51"/>
  <c r="E22" i="51"/>
  <c r="E102" i="51"/>
  <c r="R29" i="51"/>
  <c r="R53" i="51" s="1"/>
  <c r="Q32" i="51"/>
  <c r="Q58" i="51"/>
  <c r="Q72" i="51" s="1"/>
  <c r="Q99" i="51" s="1"/>
  <c r="Q53" i="51"/>
  <c r="Q113" i="51" s="1"/>
  <c r="Q118" i="51" s="1"/>
  <c r="P113" i="51"/>
  <c r="P118" i="51" s="1"/>
  <c r="P66" i="51"/>
  <c r="P98" i="51" s="1"/>
  <c r="E98" i="51"/>
  <c r="Q66" i="51"/>
  <c r="P78" i="51"/>
  <c r="Q98" i="51"/>
  <c r="E78" i="51" l="1"/>
  <c r="O92" i="51"/>
  <c r="N103" i="51"/>
  <c r="R66" i="51"/>
  <c r="R113" i="51"/>
  <c r="R118" i="51" s="1"/>
  <c r="H78" i="51"/>
  <c r="H98" i="51"/>
  <c r="O98" i="51"/>
  <c r="O78" i="51"/>
  <c r="Q78" i="51"/>
  <c r="E79" i="51"/>
  <c r="E103" i="51"/>
  <c r="H23" i="51"/>
  <c r="H67" i="51"/>
  <c r="C98" i="51"/>
  <c r="C78" i="51"/>
  <c r="E23" i="51"/>
  <c r="C102" i="51"/>
  <c r="M102" i="51"/>
  <c r="M79" i="51"/>
  <c r="M22" i="51"/>
  <c r="R73" i="51"/>
  <c r="R23" i="51"/>
  <c r="K54" i="51"/>
  <c r="K59" i="51"/>
  <c r="K73" i="51" s="1"/>
  <c r="K103" i="51" s="1"/>
  <c r="R32" i="51"/>
  <c r="H22" i="51"/>
  <c r="H72" i="51"/>
  <c r="H99" i="51" s="1"/>
  <c r="G102" i="51"/>
  <c r="L15" i="51"/>
  <c r="L24" i="51" s="1"/>
  <c r="H19" i="51"/>
  <c r="H73" i="51" s="1"/>
  <c r="H103" i="51" s="1"/>
  <c r="N67" i="51"/>
  <c r="L23" i="51"/>
  <c r="L67" i="51"/>
  <c r="D38" i="25"/>
  <c r="Q54" i="51"/>
  <c r="Q59" i="51"/>
  <c r="Q73" i="51" s="1"/>
  <c r="L114" i="51"/>
  <c r="L119" i="51" s="1"/>
  <c r="R58" i="51"/>
  <c r="R72" i="51" s="1"/>
  <c r="R99" i="51" s="1"/>
  <c r="G13" i="51"/>
  <c r="J114" i="51"/>
  <c r="J119" i="51" s="1"/>
  <c r="J19" i="51"/>
  <c r="J73" i="51" s="1"/>
  <c r="J103" i="51" s="1"/>
  <c r="J14" i="51"/>
  <c r="I54" i="51"/>
  <c r="I59" i="51"/>
  <c r="N78" i="51"/>
  <c r="K66" i="51"/>
  <c r="O24" i="51"/>
  <c r="J10" i="51"/>
  <c r="J13" i="51"/>
  <c r="M114" i="51"/>
  <c r="M119" i="51" s="1"/>
  <c r="P14" i="51"/>
  <c r="N114" i="51"/>
  <c r="N119" i="51" s="1"/>
  <c r="G10" i="51"/>
  <c r="M66" i="51"/>
  <c r="O67" i="51"/>
  <c r="M58" i="51"/>
  <c r="M72" i="51" s="1"/>
  <c r="M99" i="51" s="1"/>
  <c r="M53" i="51"/>
  <c r="I73" i="51"/>
  <c r="I103" i="51" s="1"/>
  <c r="M103" i="51"/>
  <c r="R79" i="51"/>
  <c r="M24" i="51"/>
  <c r="I14" i="51"/>
  <c r="I114" i="51"/>
  <c r="I119" i="51" s="1"/>
  <c r="J53" i="51"/>
  <c r="J113" i="51" s="1"/>
  <c r="J118" i="51" s="1"/>
  <c r="J32" i="51"/>
  <c r="F32" i="51"/>
  <c r="F58" i="51"/>
  <c r="F72" i="51" s="1"/>
  <c r="F99" i="51" s="1"/>
  <c r="F53" i="51"/>
  <c r="G53" i="51"/>
  <c r="G58" i="51"/>
  <c r="G72" i="51" s="1"/>
  <c r="G99" i="51" s="1"/>
  <c r="P87" i="51"/>
  <c r="Q87" i="51" s="1"/>
  <c r="R87" i="51" s="1"/>
  <c r="R114" i="51" s="1"/>
  <c r="R119" i="51" s="1"/>
  <c r="C29" i="22"/>
  <c r="D39" i="22"/>
  <c r="F114" i="51"/>
  <c r="F119" i="51" s="1"/>
  <c r="G8" i="28"/>
  <c r="D129" i="19" s="1"/>
  <c r="C59" i="51"/>
  <c r="L53" i="51"/>
  <c r="M10" i="51"/>
  <c r="I53" i="51"/>
  <c r="C32" i="51"/>
  <c r="D39" i="20"/>
  <c r="C29" i="24"/>
  <c r="D137" i="24"/>
  <c r="K6" i="28"/>
  <c r="J6" i="28"/>
  <c r="I66" i="51" l="1"/>
  <c r="I113" i="51"/>
  <c r="I118" i="51" s="1"/>
  <c r="P92" i="51"/>
  <c r="O103" i="51"/>
  <c r="I67" i="51"/>
  <c r="I23" i="51"/>
  <c r="O102" i="51"/>
  <c r="O79" i="51"/>
  <c r="P67" i="51"/>
  <c r="P23" i="51"/>
  <c r="J22" i="51"/>
  <c r="J66" i="51"/>
  <c r="G113" i="51"/>
  <c r="G118" i="51" s="1"/>
  <c r="L113" i="51"/>
  <c r="L118" i="51" s="1"/>
  <c r="L66" i="51"/>
  <c r="M78" i="51"/>
  <c r="M98" i="51"/>
  <c r="P114" i="51"/>
  <c r="P119" i="51" s="1"/>
  <c r="R98" i="51"/>
  <c r="R78" i="51"/>
  <c r="K78" i="51"/>
  <c r="K98" i="51"/>
  <c r="J67" i="51"/>
  <c r="J23" i="51"/>
  <c r="G66" i="51"/>
  <c r="G22" i="51"/>
  <c r="Q114" i="51"/>
  <c r="Q119" i="51" s="1"/>
  <c r="Q67" i="51"/>
  <c r="N79" i="51"/>
  <c r="N102" i="51"/>
  <c r="K67" i="51"/>
  <c r="K114" i="51"/>
  <c r="K119" i="51" s="1"/>
  <c r="C73" i="51"/>
  <c r="C114" i="51"/>
  <c r="C119" i="51" s="1"/>
  <c r="F66" i="51"/>
  <c r="F113" i="51"/>
  <c r="F118" i="51" s="1"/>
  <c r="R102" i="51"/>
  <c r="M113" i="51"/>
  <c r="M118" i="51" s="1"/>
  <c r="L79" i="51"/>
  <c r="L102" i="51"/>
  <c r="H102" i="51"/>
  <c r="H79" i="51"/>
  <c r="J7" i="28"/>
  <c r="J8" i="28" s="1"/>
  <c r="K7" i="28"/>
  <c r="K8" i="28" s="1"/>
  <c r="F78" i="51" l="1"/>
  <c r="F98" i="51"/>
  <c r="J102" i="51"/>
  <c r="J79" i="51"/>
  <c r="L98" i="51"/>
  <c r="L78" i="51"/>
  <c r="K102" i="51"/>
  <c r="K79" i="51"/>
  <c r="Q92" i="51"/>
  <c r="P103" i="51"/>
  <c r="G78" i="51"/>
  <c r="G98" i="51"/>
  <c r="C103" i="51"/>
  <c r="C79" i="51"/>
  <c r="P102" i="51"/>
  <c r="P79" i="51"/>
  <c r="I102" i="51"/>
  <c r="I79" i="51"/>
  <c r="Q79" i="51"/>
  <c r="Q102" i="51"/>
  <c r="J78" i="51"/>
  <c r="J98" i="51"/>
  <c r="I98" i="51"/>
  <c r="I78" i="51"/>
  <c r="D129" i="23"/>
  <c r="K14" i="28"/>
  <c r="D135" i="23" s="1"/>
  <c r="K13" i="28"/>
  <c r="D134" i="23" s="1"/>
  <c r="K15" i="28"/>
  <c r="D136" i="23" s="1"/>
  <c r="J13" i="28"/>
  <c r="D134" i="22" s="1"/>
  <c r="J15" i="28"/>
  <c r="D136" i="22" s="1"/>
  <c r="D129" i="22"/>
  <c r="J14" i="28"/>
  <c r="D135" i="22" s="1"/>
  <c r="R92" i="51" l="1"/>
  <c r="R103" i="51" s="1"/>
  <c r="Q103" i="51"/>
  <c r="C55" i="51"/>
  <c r="D55" i="51"/>
  <c r="E55" i="51"/>
  <c r="F55" i="51"/>
  <c r="G55" i="51"/>
  <c r="H55" i="51"/>
  <c r="I55" i="51"/>
  <c r="J55" i="51"/>
  <c r="K55" i="51"/>
  <c r="L55" i="51"/>
  <c r="M55" i="51"/>
  <c r="N55" i="51"/>
  <c r="O55" i="51"/>
  <c r="P55" i="51"/>
  <c r="Q55" i="51"/>
  <c r="R55" i="51"/>
  <c r="C60" i="51"/>
  <c r="D60" i="51"/>
  <c r="E60" i="51"/>
  <c r="F60" i="51"/>
  <c r="G60" i="51"/>
  <c r="H60" i="51"/>
  <c r="I60" i="51"/>
  <c r="J60" i="51"/>
  <c r="K60" i="51"/>
  <c r="L60" i="51"/>
  <c r="M60" i="51"/>
  <c r="N60" i="51"/>
  <c r="O60" i="51"/>
  <c r="P60" i="51"/>
  <c r="Q60" i="51"/>
  <c r="R60" i="51"/>
  <c r="C68" i="51"/>
  <c r="D68" i="51"/>
  <c r="E68" i="51"/>
  <c r="F68" i="51"/>
  <c r="G68" i="51"/>
  <c r="H68" i="51"/>
  <c r="I68" i="51"/>
  <c r="J68" i="51"/>
  <c r="K68" i="51"/>
  <c r="L68" i="51"/>
  <c r="M68" i="51"/>
  <c r="N68" i="51"/>
  <c r="O68" i="51"/>
  <c r="P68" i="51"/>
  <c r="Q68" i="51"/>
  <c r="R68" i="51"/>
  <c r="C69" i="51"/>
  <c r="D69" i="51"/>
  <c r="E69" i="51"/>
  <c r="F69" i="51"/>
  <c r="G69" i="51"/>
  <c r="H69" i="51"/>
  <c r="I69" i="51"/>
  <c r="J69" i="51"/>
  <c r="K69" i="51"/>
  <c r="L69" i="51"/>
  <c r="M69" i="51"/>
  <c r="N69" i="51"/>
  <c r="O69" i="51"/>
  <c r="P69" i="51"/>
  <c r="Q69" i="51"/>
  <c r="R69" i="51"/>
  <c r="C74" i="51"/>
  <c r="D74" i="51"/>
  <c r="E74" i="51"/>
  <c r="F74" i="51"/>
  <c r="G74" i="51"/>
  <c r="H74" i="51"/>
  <c r="I74" i="51"/>
  <c r="J74" i="51"/>
  <c r="K74" i="51"/>
  <c r="L74" i="51"/>
  <c r="M74" i="51"/>
  <c r="N74" i="51"/>
  <c r="O74" i="51"/>
  <c r="P74" i="51"/>
  <c r="Q74" i="51"/>
  <c r="R74" i="51"/>
  <c r="C75" i="51"/>
  <c r="D75" i="51"/>
  <c r="E75" i="51"/>
  <c r="F75" i="51"/>
  <c r="G75" i="51"/>
  <c r="H75" i="51"/>
  <c r="I75" i="51"/>
  <c r="J75" i="51"/>
  <c r="K75" i="51"/>
  <c r="L75" i="51"/>
  <c r="M75" i="51"/>
  <c r="N75" i="51"/>
  <c r="O75" i="51"/>
  <c r="P75" i="51"/>
  <c r="Q75" i="51"/>
  <c r="R75" i="51"/>
  <c r="C80" i="51"/>
  <c r="D80" i="51"/>
  <c r="E80" i="51"/>
  <c r="F80" i="51"/>
  <c r="G80" i="51"/>
  <c r="H80" i="51"/>
  <c r="I80" i="51"/>
  <c r="J80" i="51"/>
  <c r="K80" i="51"/>
  <c r="L80" i="51"/>
  <c r="M80" i="51"/>
  <c r="N80" i="51"/>
  <c r="O80" i="51"/>
  <c r="P80" i="51"/>
  <c r="Q80" i="51"/>
  <c r="R80" i="51"/>
  <c r="C81" i="51"/>
  <c r="D81" i="51"/>
  <c r="E81" i="51"/>
  <c r="F81" i="51"/>
  <c r="G81" i="51"/>
  <c r="H81" i="51"/>
  <c r="I81" i="51"/>
  <c r="J81" i="51"/>
  <c r="K81" i="51"/>
  <c r="L81" i="51"/>
  <c r="M81" i="51"/>
  <c r="N81" i="51"/>
  <c r="O81" i="51"/>
  <c r="P81" i="51"/>
  <c r="Q81" i="51"/>
  <c r="R81" i="51"/>
  <c r="C106" i="51"/>
  <c r="D106" i="51"/>
  <c r="E106" i="51"/>
  <c r="F106" i="51"/>
  <c r="G106" i="51"/>
  <c r="H106" i="51"/>
  <c r="I106" i="51"/>
  <c r="J106" i="51"/>
  <c r="K106" i="51"/>
  <c r="L106" i="51"/>
  <c r="M106" i="51"/>
  <c r="N106" i="51"/>
  <c r="O106" i="51"/>
  <c r="P106" i="51"/>
  <c r="Q106" i="51"/>
  <c r="R106" i="51"/>
  <c r="C107" i="51"/>
  <c r="D107" i="51"/>
  <c r="E107" i="51"/>
  <c r="F107" i="51"/>
  <c r="G107" i="51"/>
  <c r="H107" i="51"/>
  <c r="I107" i="51"/>
  <c r="J107" i="51"/>
  <c r="K107" i="51"/>
  <c r="L107" i="51"/>
  <c r="M107" i="51"/>
  <c r="N107" i="51"/>
  <c r="O107" i="51"/>
  <c r="P107" i="51"/>
  <c r="Q107" i="51"/>
  <c r="R107" i="51"/>
  <c r="C115" i="51"/>
  <c r="D115" i="51"/>
  <c r="E115" i="51"/>
  <c r="F115" i="51"/>
  <c r="G115" i="51"/>
  <c r="H115" i="51"/>
  <c r="I115" i="51"/>
  <c r="J115" i="51"/>
  <c r="K115" i="51"/>
  <c r="L115" i="51"/>
  <c r="M115" i="51"/>
  <c r="N115" i="51"/>
  <c r="O115" i="51"/>
  <c r="P115" i="51"/>
  <c r="Q115" i="51"/>
  <c r="R115" i="51"/>
  <c r="C120" i="51"/>
  <c r="D120" i="51"/>
  <c r="E120" i="51"/>
  <c r="F120" i="51"/>
  <c r="G120" i="51"/>
  <c r="H120" i="51"/>
  <c r="I120" i="51"/>
  <c r="J120" i="51"/>
  <c r="K120" i="51"/>
  <c r="L120" i="51"/>
  <c r="M120" i="51"/>
  <c r="N120" i="51"/>
  <c r="O120" i="51"/>
  <c r="P120" i="51"/>
  <c r="Q120" i="51"/>
  <c r="R120" i="51"/>
  <c r="C123" i="51"/>
  <c r="D123" i="51"/>
  <c r="E123" i="51"/>
  <c r="F123" i="51"/>
  <c r="G123" i="51"/>
  <c r="H123" i="51"/>
  <c r="I123" i="51"/>
  <c r="J123" i="51"/>
  <c r="K123" i="51"/>
  <c r="L123" i="51"/>
  <c r="M123" i="51"/>
  <c r="N123" i="51"/>
  <c r="O123" i="51"/>
  <c r="P123" i="51"/>
  <c r="Q123" i="51"/>
  <c r="R123" i="51"/>
  <c r="C124" i="51"/>
  <c r="D124" i="51"/>
  <c r="E124" i="51"/>
  <c r="F124" i="51"/>
  <c r="G124" i="51"/>
  <c r="H124" i="51"/>
  <c r="I124" i="51"/>
  <c r="J124" i="51"/>
  <c r="K124" i="51"/>
  <c r="L124" i="51"/>
  <c r="M124" i="51"/>
  <c r="N124" i="51"/>
  <c r="O124" i="51"/>
  <c r="P124" i="51"/>
  <c r="Q124" i="51"/>
  <c r="R124" i="51"/>
  <c r="C125" i="51"/>
  <c r="D125" i="51"/>
  <c r="E125" i="51"/>
  <c r="F125" i="51"/>
  <c r="G125" i="51"/>
  <c r="H125" i="51"/>
  <c r="I125" i="51"/>
  <c r="J125" i="51"/>
  <c r="K125" i="51"/>
  <c r="L125" i="51"/>
  <c r="M125" i="51"/>
  <c r="N125" i="51"/>
  <c r="O125" i="51"/>
  <c r="P125" i="51"/>
  <c r="Q125" i="51"/>
  <c r="R125" i="51"/>
  <c r="C126" i="51"/>
  <c r="D126" i="51"/>
  <c r="E126" i="51"/>
  <c r="F126" i="51"/>
  <c r="G126" i="51"/>
  <c r="H126" i="51"/>
  <c r="I126" i="51"/>
  <c r="J126" i="51"/>
  <c r="K126" i="51"/>
  <c r="L126" i="51"/>
  <c r="M126" i="51"/>
  <c r="N126" i="51"/>
  <c r="O126" i="51"/>
  <c r="P126" i="51"/>
  <c r="Q126" i="51"/>
  <c r="R126" i="51"/>
  <c r="C127" i="51"/>
  <c r="D127" i="51"/>
  <c r="E127" i="51"/>
  <c r="F127" i="51"/>
  <c r="G127" i="51"/>
  <c r="H127" i="51"/>
  <c r="I127" i="51"/>
  <c r="J127" i="51"/>
  <c r="K127" i="51"/>
  <c r="L127" i="51"/>
  <c r="M127" i="51"/>
  <c r="N127" i="51"/>
  <c r="O127" i="51"/>
  <c r="P127" i="51"/>
  <c r="Q127" i="51"/>
  <c r="R127" i="51"/>
  <c r="C128" i="51"/>
  <c r="D128" i="51"/>
  <c r="E128" i="51"/>
  <c r="F128" i="51"/>
  <c r="G128" i="51"/>
  <c r="H128" i="51"/>
  <c r="I128" i="51"/>
  <c r="J128" i="51"/>
  <c r="K128" i="51"/>
  <c r="L128" i="51"/>
  <c r="M128" i="51"/>
  <c r="N128" i="51"/>
  <c r="O128" i="51"/>
  <c r="P128" i="51"/>
  <c r="Q128" i="51"/>
  <c r="R128" i="51"/>
  <c r="C129" i="51"/>
  <c r="D129" i="51"/>
  <c r="E129" i="51"/>
  <c r="F129" i="51"/>
  <c r="G129" i="51"/>
  <c r="H129" i="51"/>
  <c r="I129" i="51"/>
  <c r="J129" i="51"/>
  <c r="K129" i="51"/>
  <c r="L129" i="51"/>
  <c r="M129" i="51"/>
  <c r="N129" i="51"/>
  <c r="O129" i="51"/>
  <c r="P129" i="51"/>
  <c r="Q129" i="51"/>
  <c r="R129" i="51"/>
  <c r="C130" i="51"/>
  <c r="D130" i="51"/>
  <c r="E130" i="51"/>
  <c r="F130" i="51"/>
  <c r="G130" i="51"/>
  <c r="H130" i="51"/>
  <c r="I130" i="51"/>
  <c r="J130" i="51"/>
  <c r="K130" i="51"/>
  <c r="L130" i="51"/>
  <c r="M130" i="51"/>
  <c r="N130" i="51"/>
  <c r="O130" i="51"/>
  <c r="P130" i="51"/>
  <c r="Q130" i="51"/>
  <c r="R130" i="51"/>
  <c r="C131" i="51"/>
  <c r="D131" i="51"/>
  <c r="E131" i="51"/>
  <c r="F131" i="51"/>
  <c r="G131" i="51"/>
  <c r="H131" i="51"/>
  <c r="I131" i="51"/>
  <c r="J131" i="51"/>
  <c r="K131" i="51"/>
  <c r="L131" i="51"/>
  <c r="M131" i="51"/>
  <c r="N131" i="51"/>
  <c r="O131" i="51"/>
  <c r="P131" i="51"/>
  <c r="Q131" i="51"/>
  <c r="R131" i="51"/>
  <c r="C132" i="51"/>
  <c r="D132" i="51"/>
  <c r="E132" i="51"/>
  <c r="F132" i="51"/>
  <c r="G132" i="51"/>
  <c r="H132" i="51"/>
  <c r="I132" i="51"/>
  <c r="J132" i="51"/>
  <c r="K132" i="51"/>
  <c r="L132" i="51"/>
  <c r="M132" i="51"/>
  <c r="N132" i="51"/>
  <c r="O132" i="51"/>
  <c r="P132" i="51"/>
  <c r="Q132" i="51"/>
  <c r="R132" i="51"/>
  <c r="C133" i="51"/>
  <c r="D133" i="51"/>
  <c r="E133" i="51"/>
  <c r="F133" i="51"/>
  <c r="G133" i="51"/>
  <c r="H133" i="51"/>
  <c r="I133" i="51"/>
  <c r="J133" i="51"/>
  <c r="K133" i="51"/>
  <c r="L133" i="51"/>
  <c r="M133" i="51"/>
  <c r="N133" i="51"/>
  <c r="O133" i="51"/>
  <c r="P133" i="51"/>
  <c r="Q133" i="51"/>
  <c r="R133" i="51"/>
  <c r="C134" i="51"/>
  <c r="D134" i="51"/>
  <c r="E134" i="51"/>
  <c r="F134" i="51"/>
  <c r="G134" i="51"/>
  <c r="H134" i="51"/>
  <c r="I134" i="51"/>
  <c r="J134" i="51"/>
  <c r="K134" i="51"/>
  <c r="L134" i="51"/>
  <c r="M134" i="51"/>
  <c r="N134" i="51"/>
  <c r="O134" i="51"/>
  <c r="P134" i="51"/>
  <c r="Q134" i="51"/>
  <c r="R134" i="51"/>
  <c r="C135" i="51"/>
  <c r="D135" i="51"/>
  <c r="E135" i="51"/>
  <c r="F135" i="51"/>
  <c r="G135" i="51"/>
  <c r="H135" i="51"/>
  <c r="I135" i="51"/>
  <c r="J135" i="51"/>
  <c r="K135" i="51"/>
  <c r="L135" i="51"/>
  <c r="M135" i="51"/>
  <c r="N135" i="51"/>
  <c r="O135" i="51"/>
  <c r="P135" i="51"/>
  <c r="Q135" i="51"/>
  <c r="R135" i="51"/>
  <c r="C136" i="51"/>
  <c r="D136" i="51"/>
  <c r="E136" i="51"/>
  <c r="F136" i="51"/>
  <c r="G136" i="51"/>
  <c r="H136" i="51"/>
  <c r="I136" i="51"/>
  <c r="J136" i="51"/>
  <c r="K136" i="51"/>
  <c r="L136" i="51"/>
  <c r="M136" i="51"/>
  <c r="N136" i="51"/>
  <c r="O136" i="51"/>
  <c r="P136" i="51"/>
  <c r="Q136" i="51"/>
  <c r="R136" i="51"/>
  <c r="C137" i="51"/>
  <c r="D137" i="51"/>
  <c r="E137" i="51"/>
  <c r="F137" i="51"/>
  <c r="G137" i="51"/>
  <c r="H137" i="51"/>
  <c r="I137" i="51"/>
  <c r="J137" i="51"/>
  <c r="K137" i="51"/>
  <c r="L137" i="51"/>
  <c r="M137" i="51"/>
  <c r="N137" i="51"/>
  <c r="O137" i="51"/>
  <c r="P137" i="51"/>
  <c r="Q137" i="51"/>
  <c r="R137" i="51"/>
  <c r="C138" i="51"/>
  <c r="D138" i="51"/>
  <c r="E138" i="51"/>
  <c r="F138" i="51"/>
  <c r="G138" i="51"/>
  <c r="H138" i="51"/>
  <c r="I138" i="51"/>
  <c r="J138" i="51"/>
  <c r="K138" i="51"/>
  <c r="L138" i="51"/>
  <c r="M138" i="51"/>
  <c r="N138" i="51"/>
  <c r="O138" i="51"/>
  <c r="P138" i="51"/>
  <c r="Q138" i="51"/>
  <c r="R138" i="51"/>
  <c r="C139" i="51"/>
  <c r="D139" i="51"/>
  <c r="E139" i="51"/>
  <c r="F139" i="51"/>
  <c r="G139" i="51"/>
  <c r="H139" i="51"/>
  <c r="I139" i="51"/>
  <c r="J139" i="51"/>
  <c r="K139" i="51"/>
  <c r="L139" i="51"/>
  <c r="M139" i="51"/>
  <c r="N139" i="51"/>
  <c r="O139" i="51"/>
  <c r="P139" i="51"/>
  <c r="Q139" i="51"/>
  <c r="R139" i="51"/>
  <c r="C140" i="51"/>
  <c r="D140" i="51"/>
  <c r="E140" i="51"/>
  <c r="F140" i="51"/>
  <c r="G140" i="51"/>
  <c r="H140" i="51"/>
  <c r="I140" i="51"/>
  <c r="J140" i="51"/>
  <c r="K140" i="51"/>
  <c r="L140" i="51"/>
  <c r="M140" i="51"/>
  <c r="N140" i="51"/>
  <c r="O140" i="51"/>
  <c r="P140" i="51"/>
  <c r="Q140" i="51"/>
  <c r="R140" i="51"/>
  <c r="C141" i="51"/>
  <c r="D141" i="51"/>
  <c r="E141" i="51"/>
  <c r="F141" i="51"/>
  <c r="G141" i="51"/>
  <c r="H141" i="51"/>
  <c r="I141" i="51"/>
  <c r="J141" i="51"/>
  <c r="K141" i="51"/>
  <c r="L141" i="51"/>
  <c r="M141" i="51"/>
  <c r="N141" i="51"/>
  <c r="O141" i="51"/>
  <c r="P141" i="51"/>
  <c r="Q141" i="51"/>
  <c r="R141" i="51"/>
  <c r="C142" i="51"/>
  <c r="D142" i="51"/>
  <c r="E142" i="51"/>
  <c r="F142" i="51"/>
  <c r="G142" i="51"/>
  <c r="H142" i="51"/>
  <c r="I142" i="51"/>
  <c r="J142" i="51"/>
  <c r="K142" i="51"/>
  <c r="L142" i="51"/>
  <c r="M142" i="51"/>
  <c r="N142" i="51"/>
  <c r="O142" i="51"/>
  <c r="P142" i="51"/>
  <c r="Q142" i="51"/>
  <c r="R142" i="51"/>
  <c r="C143" i="51"/>
  <c r="D143" i="51"/>
  <c r="E143" i="51"/>
  <c r="F143" i="51"/>
  <c r="G143" i="51"/>
  <c r="H143" i="51"/>
  <c r="I143" i="51"/>
  <c r="J143" i="51"/>
  <c r="K143" i="51"/>
  <c r="L143" i="51"/>
  <c r="M143" i="51"/>
  <c r="N143" i="51"/>
  <c r="O143" i="51"/>
  <c r="P143" i="51"/>
  <c r="Q143" i="51"/>
  <c r="R143" i="51"/>
  <c r="C144" i="51"/>
  <c r="D144" i="51"/>
  <c r="E144" i="51"/>
  <c r="F144" i="51"/>
  <c r="G144" i="51"/>
  <c r="H144" i="51"/>
  <c r="I144" i="51"/>
  <c r="J144" i="51"/>
  <c r="K144" i="51"/>
  <c r="L144" i="51"/>
  <c r="M144" i="51"/>
  <c r="N144" i="51"/>
  <c r="O144" i="51"/>
  <c r="P144" i="51"/>
  <c r="Q144" i="51"/>
  <c r="R144" i="51"/>
  <c r="C145" i="51"/>
  <c r="D145" i="51"/>
  <c r="E145" i="51"/>
  <c r="F145" i="51"/>
  <c r="G145" i="51"/>
  <c r="H145" i="51"/>
  <c r="I145" i="51"/>
  <c r="J145" i="51"/>
  <c r="K145" i="51"/>
  <c r="L145" i="51"/>
  <c r="M145" i="51"/>
  <c r="N145" i="51"/>
  <c r="O145" i="51"/>
  <c r="P145" i="51"/>
  <c r="Q145" i="51"/>
  <c r="R145" i="51"/>
  <c r="C146" i="51"/>
  <c r="D146" i="51"/>
  <c r="E146" i="51"/>
  <c r="F146" i="51"/>
  <c r="G146" i="51"/>
  <c r="H146" i="51"/>
  <c r="I146" i="51"/>
  <c r="J146" i="51"/>
  <c r="K146" i="51"/>
  <c r="L146" i="51"/>
  <c r="M146" i="51"/>
  <c r="N146" i="51"/>
  <c r="O146" i="51"/>
  <c r="P146" i="51"/>
  <c r="Q146" i="51"/>
  <c r="R146" i="51"/>
  <c r="C147" i="51"/>
  <c r="D147" i="51"/>
  <c r="E147" i="51"/>
  <c r="F147" i="51"/>
  <c r="G147" i="51"/>
  <c r="H147" i="51"/>
  <c r="I147" i="51"/>
  <c r="J147" i="51"/>
  <c r="K147" i="51"/>
  <c r="L147" i="51"/>
  <c r="M147" i="51"/>
  <c r="N147" i="51"/>
  <c r="O147" i="51"/>
  <c r="P147" i="51"/>
  <c r="Q147" i="51"/>
  <c r="R147" i="51"/>
  <c r="C148" i="51"/>
  <c r="D148" i="51"/>
  <c r="E148" i="51"/>
  <c r="F148" i="51"/>
  <c r="G148" i="51"/>
  <c r="H148" i="51"/>
  <c r="I148" i="51"/>
  <c r="J148" i="51"/>
  <c r="K148" i="51"/>
  <c r="L148" i="51"/>
  <c r="M148" i="51"/>
  <c r="N148" i="51"/>
  <c r="O148" i="51"/>
  <c r="P148" i="51"/>
  <c r="Q148" i="51"/>
  <c r="R148" i="51"/>
  <c r="C149" i="51"/>
  <c r="D149" i="51"/>
  <c r="E149" i="51"/>
  <c r="F149" i="51"/>
  <c r="G149" i="51"/>
  <c r="H149" i="51"/>
  <c r="I149" i="51"/>
  <c r="J149" i="51"/>
  <c r="K149" i="51"/>
  <c r="L149" i="51"/>
  <c r="M149" i="51"/>
  <c r="N149" i="51"/>
  <c r="O149" i="51"/>
  <c r="P149" i="51"/>
  <c r="Q149" i="51"/>
  <c r="R149" i="51"/>
  <c r="C150" i="51"/>
  <c r="D150" i="51"/>
  <c r="E150" i="51"/>
  <c r="F150" i="51"/>
  <c r="G150" i="51"/>
  <c r="H150" i="51"/>
  <c r="I150" i="51"/>
  <c r="J150" i="51"/>
  <c r="K150" i="51"/>
  <c r="L150" i="51"/>
  <c r="M150" i="51"/>
  <c r="N150" i="51"/>
  <c r="O150" i="51"/>
  <c r="P150" i="51"/>
  <c r="Q150" i="51"/>
  <c r="R150" i="51"/>
  <c r="C151" i="51"/>
  <c r="D151" i="51"/>
  <c r="E151" i="51"/>
  <c r="F151" i="51"/>
  <c r="G151" i="51"/>
  <c r="H151" i="51"/>
  <c r="I151" i="51"/>
  <c r="J151" i="51"/>
  <c r="K151" i="51"/>
  <c r="L151" i="51"/>
  <c r="M151" i="51"/>
  <c r="N151" i="51"/>
  <c r="O151" i="51"/>
  <c r="P151" i="51"/>
  <c r="Q151" i="51"/>
  <c r="R151" i="51"/>
  <c r="C152" i="51"/>
  <c r="D152" i="51"/>
  <c r="E152" i="51"/>
  <c r="F152" i="51"/>
  <c r="G152" i="51"/>
  <c r="H152" i="51"/>
  <c r="I152" i="51"/>
  <c r="J152" i="51"/>
  <c r="K152" i="51"/>
  <c r="L152" i="51"/>
  <c r="M152" i="51"/>
  <c r="N152" i="51"/>
  <c r="O152" i="51"/>
  <c r="P152" i="51"/>
  <c r="Q152" i="51"/>
  <c r="R152" i="51"/>
  <c r="C153" i="51"/>
  <c r="D153" i="51"/>
  <c r="E153" i="51"/>
  <c r="F153" i="51"/>
  <c r="G153" i="51"/>
  <c r="H153" i="51"/>
  <c r="I153" i="51"/>
  <c r="J153" i="51"/>
  <c r="K153" i="51"/>
  <c r="L153" i="51"/>
  <c r="M153" i="51"/>
  <c r="N153" i="51"/>
  <c r="O153" i="51"/>
  <c r="P153" i="51"/>
  <c r="Q153" i="51"/>
  <c r="R153" i="51"/>
  <c r="C154" i="51"/>
  <c r="D154" i="51"/>
  <c r="E154" i="51"/>
  <c r="F154" i="51"/>
  <c r="G154" i="51"/>
  <c r="H154" i="51"/>
  <c r="I154" i="51"/>
  <c r="J154" i="51"/>
  <c r="K154" i="51"/>
  <c r="L154" i="51"/>
  <c r="M154" i="51"/>
  <c r="N154" i="51"/>
  <c r="O154" i="51"/>
  <c r="P154" i="51"/>
  <c r="Q154" i="51"/>
  <c r="R154" i="51"/>
  <c r="C155" i="51"/>
  <c r="D155" i="51"/>
  <c r="E155" i="51"/>
  <c r="F155" i="51"/>
  <c r="G155" i="51"/>
  <c r="H155" i="51"/>
  <c r="I155" i="51"/>
  <c r="J155" i="51"/>
  <c r="K155" i="51"/>
  <c r="L155" i="51"/>
  <c r="M155" i="51"/>
  <c r="N155" i="51"/>
  <c r="O155" i="51"/>
  <c r="P155" i="51"/>
  <c r="Q155" i="51"/>
  <c r="R155" i="51"/>
  <c r="C156" i="51"/>
  <c r="D156" i="51"/>
  <c r="E156" i="51"/>
  <c r="F156" i="51"/>
  <c r="G156" i="51"/>
  <c r="H156" i="51"/>
  <c r="I156" i="51"/>
  <c r="J156" i="51"/>
  <c r="K156" i="51"/>
  <c r="L156" i="51"/>
  <c r="M156" i="51"/>
  <c r="N156" i="51"/>
  <c r="O156" i="51"/>
  <c r="P156" i="51"/>
  <c r="Q156" i="51"/>
  <c r="R156" i="51"/>
  <c r="C157" i="51"/>
  <c r="D157" i="51"/>
  <c r="E157" i="51"/>
  <c r="F157" i="51"/>
  <c r="G157" i="51"/>
  <c r="H157" i="51"/>
  <c r="I157" i="51"/>
  <c r="J157" i="51"/>
  <c r="K157" i="51"/>
  <c r="L157" i="51"/>
  <c r="M157" i="51"/>
  <c r="N157" i="51"/>
  <c r="O157" i="51"/>
  <c r="P157" i="51"/>
  <c r="Q157" i="51"/>
  <c r="R157" i="51"/>
  <c r="C158" i="51"/>
  <c r="D158" i="51"/>
  <c r="E158" i="51"/>
  <c r="F158" i="51"/>
  <c r="G158" i="51"/>
  <c r="H158" i="51"/>
  <c r="I158" i="51"/>
  <c r="J158" i="51"/>
  <c r="K158" i="51"/>
  <c r="L158" i="51"/>
  <c r="M158" i="51"/>
  <c r="N158" i="51"/>
  <c r="O158" i="51"/>
  <c r="P158" i="51"/>
  <c r="Q158" i="51"/>
  <c r="R158" i="51"/>
  <c r="C159" i="51"/>
  <c r="D159" i="51"/>
  <c r="E159" i="51"/>
  <c r="F159" i="51"/>
  <c r="G159" i="51"/>
  <c r="H159" i="51"/>
  <c r="I159" i="51"/>
  <c r="J159" i="51"/>
  <c r="K159" i="51"/>
  <c r="L159" i="51"/>
  <c r="M159" i="51"/>
  <c r="N159" i="51"/>
  <c r="O159" i="51"/>
  <c r="P159" i="51"/>
  <c r="Q159" i="51"/>
  <c r="R159" i="51"/>
  <c r="C160" i="51"/>
  <c r="D160" i="51"/>
  <c r="E160" i="51"/>
  <c r="F160" i="51"/>
  <c r="G160" i="51"/>
  <c r="H160" i="51"/>
  <c r="I160" i="51"/>
  <c r="J160" i="51"/>
  <c r="K160" i="51"/>
  <c r="L160" i="51"/>
  <c r="M160" i="51"/>
  <c r="N160" i="51"/>
  <c r="O160" i="51"/>
  <c r="P160" i="51"/>
  <c r="Q160" i="51"/>
  <c r="R160" i="51"/>
  <c r="C161" i="51"/>
  <c r="D161" i="51"/>
  <c r="E161" i="51"/>
  <c r="F161" i="51"/>
  <c r="G161" i="51"/>
  <c r="H161" i="51"/>
  <c r="I161" i="51"/>
  <c r="J161" i="51"/>
  <c r="K161" i="51"/>
  <c r="L161" i="51"/>
  <c r="M161" i="51"/>
  <c r="N161" i="51"/>
  <c r="O161" i="51"/>
  <c r="P161" i="51"/>
  <c r="Q161" i="51"/>
  <c r="R161" i="51"/>
  <c r="C162" i="51"/>
  <c r="D162" i="51"/>
  <c r="E162" i="51"/>
  <c r="F162" i="51"/>
  <c r="G162" i="51"/>
  <c r="H162" i="51"/>
  <c r="I162" i="51"/>
  <c r="J162" i="51"/>
  <c r="K162" i="51"/>
  <c r="L162" i="51"/>
  <c r="M162" i="51"/>
  <c r="N162" i="51"/>
  <c r="O162" i="51"/>
  <c r="P162" i="51"/>
  <c r="Q162" i="51"/>
  <c r="R162" i="51"/>
  <c r="C163" i="51"/>
  <c r="D163" i="51"/>
  <c r="E163" i="51"/>
  <c r="F163" i="51"/>
  <c r="G163" i="51"/>
  <c r="H163" i="51"/>
  <c r="I163" i="51"/>
  <c r="J163" i="51"/>
  <c r="K163" i="51"/>
  <c r="L163" i="51"/>
  <c r="M163" i="51"/>
  <c r="N163" i="51"/>
  <c r="O163" i="51"/>
  <c r="P163" i="51"/>
  <c r="Q163" i="51"/>
  <c r="R163" i="51"/>
  <c r="C164" i="51"/>
  <c r="D164" i="51"/>
  <c r="E164" i="51"/>
  <c r="F164" i="51"/>
  <c r="G164" i="51"/>
  <c r="H164" i="51"/>
  <c r="I164" i="51"/>
  <c r="J164" i="51"/>
  <c r="K164" i="51"/>
  <c r="L164" i="51"/>
  <c r="M164" i="51"/>
  <c r="N164" i="51"/>
  <c r="O164" i="51"/>
  <c r="P164" i="51"/>
  <c r="Q164" i="51"/>
  <c r="R164" i="51"/>
  <c r="C165" i="51"/>
  <c r="D165" i="51"/>
  <c r="E165" i="51"/>
  <c r="F165" i="51"/>
  <c r="G165" i="51"/>
  <c r="H165" i="51"/>
  <c r="I165" i="51"/>
  <c r="J165" i="51"/>
  <c r="K165" i="51"/>
  <c r="L165" i="51"/>
  <c r="M165" i="51"/>
  <c r="N165" i="51"/>
  <c r="O165" i="51"/>
  <c r="P165" i="51"/>
  <c r="Q165" i="51"/>
  <c r="R165" i="51"/>
  <c r="C166" i="51"/>
  <c r="D166" i="51"/>
  <c r="E166" i="51"/>
  <c r="F166" i="51"/>
  <c r="G166" i="51"/>
  <c r="H166" i="51"/>
  <c r="I166" i="51"/>
  <c r="J166" i="51"/>
  <c r="K166" i="51"/>
  <c r="L166" i="51"/>
  <c r="M166" i="51"/>
  <c r="N166" i="51"/>
  <c r="O166" i="51"/>
  <c r="P166" i="51"/>
  <c r="Q166" i="51"/>
  <c r="R166" i="51"/>
  <c r="C167" i="51"/>
  <c r="D167" i="51"/>
  <c r="E167" i="51"/>
  <c r="F167" i="51"/>
  <c r="G167" i="51"/>
  <c r="H167" i="51"/>
  <c r="I167" i="51"/>
  <c r="J167" i="51"/>
  <c r="K167" i="51"/>
  <c r="L167" i="51"/>
  <c r="M167" i="51"/>
  <c r="N167" i="51"/>
  <c r="O167" i="51"/>
  <c r="P167" i="51"/>
  <c r="Q167" i="51"/>
  <c r="R167" i="51"/>
  <c r="C168" i="51"/>
  <c r="D168" i="51"/>
  <c r="E168" i="51"/>
  <c r="F168" i="51"/>
  <c r="G168" i="51"/>
  <c r="H168" i="51"/>
  <c r="I168" i="51"/>
  <c r="J168" i="51"/>
  <c r="K168" i="51"/>
  <c r="L168" i="51"/>
  <c r="M168" i="51"/>
  <c r="N168" i="51"/>
  <c r="O168" i="51"/>
  <c r="P168" i="51"/>
  <c r="Q168" i="51"/>
  <c r="R168" i="51"/>
  <c r="C169" i="51"/>
  <c r="D169" i="51"/>
  <c r="E169" i="51"/>
  <c r="F169" i="51"/>
  <c r="G169" i="51"/>
  <c r="H169" i="51"/>
  <c r="I169" i="51"/>
  <c r="J169" i="51"/>
  <c r="K169" i="51"/>
  <c r="L169" i="51"/>
  <c r="M169" i="51"/>
  <c r="N169" i="51"/>
  <c r="O169" i="51"/>
  <c r="P169" i="51"/>
  <c r="Q169" i="51"/>
  <c r="R169" i="51"/>
  <c r="C170" i="51"/>
  <c r="D170" i="51"/>
  <c r="E170" i="51"/>
  <c r="F170" i="51"/>
  <c r="G170" i="51"/>
  <c r="H170" i="51"/>
  <c r="I170" i="51"/>
  <c r="J170" i="51"/>
  <c r="K170" i="51"/>
  <c r="L170" i="51"/>
  <c r="M170" i="51"/>
  <c r="N170" i="51"/>
  <c r="O170" i="51"/>
  <c r="P170" i="51"/>
  <c r="Q170" i="51"/>
  <c r="R170" i="51"/>
  <c r="C171" i="51"/>
  <c r="D171" i="51"/>
  <c r="E171" i="51"/>
  <c r="F171" i="51"/>
  <c r="G171" i="51"/>
  <c r="H171" i="51"/>
  <c r="I171" i="51"/>
  <c r="J171" i="51"/>
  <c r="K171" i="51"/>
  <c r="L171" i="51"/>
  <c r="M171" i="51"/>
  <c r="N171" i="51"/>
  <c r="O171" i="51"/>
  <c r="P171" i="51"/>
  <c r="Q171" i="51"/>
  <c r="R171" i="51"/>
  <c r="C172" i="51"/>
  <c r="D172" i="51"/>
  <c r="E172" i="51"/>
  <c r="F172" i="51"/>
  <c r="G172" i="51"/>
  <c r="H172" i="51"/>
  <c r="I172" i="51"/>
  <c r="J172" i="51"/>
  <c r="K172" i="51"/>
  <c r="L172" i="51"/>
  <c r="M172" i="51"/>
  <c r="N172" i="51"/>
  <c r="O172" i="51"/>
  <c r="P172" i="51"/>
  <c r="Q172" i="51"/>
  <c r="R172" i="51"/>
  <c r="C173" i="51"/>
  <c r="D173" i="51"/>
  <c r="E173" i="51"/>
  <c r="F173" i="51"/>
  <c r="G173" i="51"/>
  <c r="H173" i="51"/>
  <c r="I173" i="51"/>
  <c r="J173" i="51"/>
  <c r="K173" i="51"/>
  <c r="L173" i="51"/>
  <c r="M173" i="51"/>
  <c r="N173" i="51"/>
  <c r="O173" i="51"/>
  <c r="P173" i="51"/>
  <c r="Q173" i="51"/>
  <c r="R173" i="51"/>
  <c r="C174" i="51"/>
  <c r="D174" i="51"/>
  <c r="E174" i="51"/>
  <c r="F174" i="51"/>
  <c r="G174" i="51"/>
  <c r="H174" i="51"/>
  <c r="I174" i="51"/>
  <c r="J174" i="51"/>
  <c r="K174" i="51"/>
  <c r="L174" i="51"/>
  <c r="M174" i="51"/>
  <c r="N174" i="51"/>
  <c r="O174" i="51"/>
  <c r="P174" i="51"/>
  <c r="Q174" i="51"/>
  <c r="R174" i="51"/>
  <c r="C175" i="51"/>
  <c r="D175" i="51"/>
  <c r="E175" i="51"/>
  <c r="F175" i="51"/>
  <c r="G175" i="51"/>
  <c r="H175" i="51"/>
  <c r="I175" i="51"/>
  <c r="J175" i="51"/>
  <c r="K175" i="51"/>
  <c r="L175" i="51"/>
  <c r="M175" i="51"/>
  <c r="N175" i="51"/>
  <c r="O175" i="51"/>
  <c r="P175" i="51"/>
  <c r="Q175" i="51"/>
  <c r="R175" i="51"/>
  <c r="C176" i="51"/>
  <c r="D176" i="51"/>
  <c r="E176" i="51"/>
  <c r="F176" i="51"/>
  <c r="G176" i="51"/>
  <c r="H176" i="51"/>
  <c r="I176" i="51"/>
  <c r="J176" i="51"/>
  <c r="K176" i="51"/>
  <c r="L176" i="51"/>
  <c r="M176" i="51"/>
  <c r="N176" i="51"/>
  <c r="O176" i="51"/>
  <c r="P176" i="51"/>
  <c r="Q176" i="51"/>
  <c r="R176" i="51"/>
  <c r="C177" i="51"/>
  <c r="D177" i="51"/>
  <c r="E177" i="51"/>
  <c r="F177" i="51"/>
  <c r="G177" i="51"/>
  <c r="H177" i="51"/>
  <c r="I177" i="51"/>
  <c r="J177" i="51"/>
  <c r="K177" i="51"/>
  <c r="L177" i="51"/>
  <c r="M177" i="51"/>
  <c r="N177" i="51"/>
  <c r="O177" i="51"/>
  <c r="P177" i="51"/>
  <c r="Q177" i="51"/>
  <c r="R177" i="51"/>
  <c r="C178" i="51"/>
  <c r="D178" i="51"/>
  <c r="E178" i="51"/>
  <c r="F178" i="51"/>
  <c r="G178" i="51"/>
  <c r="H178" i="51"/>
  <c r="I178" i="51"/>
  <c r="J178" i="51"/>
  <c r="K178" i="51"/>
  <c r="L178" i="51"/>
  <c r="M178" i="51"/>
  <c r="N178" i="51"/>
  <c r="O178" i="51"/>
  <c r="P178" i="51"/>
  <c r="Q178" i="51"/>
  <c r="R178" i="51"/>
  <c r="C179" i="51"/>
  <c r="D179" i="51"/>
  <c r="E179" i="51"/>
  <c r="F179" i="51"/>
  <c r="G179" i="51"/>
  <c r="H179" i="51"/>
  <c r="I179" i="51"/>
  <c r="J179" i="51"/>
  <c r="K179" i="51"/>
  <c r="L179" i="51"/>
  <c r="M179" i="51"/>
  <c r="N179" i="51"/>
  <c r="O179" i="51"/>
  <c r="P179" i="51"/>
  <c r="Q179" i="51"/>
  <c r="R179" i="51"/>
  <c r="C180" i="51"/>
  <c r="D180" i="51"/>
  <c r="E180" i="51"/>
  <c r="F180" i="51"/>
  <c r="G180" i="51"/>
  <c r="H180" i="51"/>
  <c r="I180" i="51"/>
  <c r="J180" i="51"/>
  <c r="K180" i="51"/>
  <c r="L180" i="51"/>
  <c r="M180" i="51"/>
  <c r="N180" i="51"/>
  <c r="O180" i="51"/>
  <c r="P180" i="51"/>
  <c r="Q180" i="51"/>
  <c r="R180" i="51"/>
  <c r="C181" i="51"/>
  <c r="D181" i="51"/>
  <c r="E181" i="51"/>
  <c r="F181" i="51"/>
  <c r="G181" i="51"/>
  <c r="H181" i="51"/>
  <c r="I181" i="51"/>
  <c r="J181" i="51"/>
  <c r="K181" i="51"/>
  <c r="L181" i="51"/>
  <c r="M181" i="51"/>
  <c r="N181" i="51"/>
  <c r="O181" i="51"/>
  <c r="P181" i="51"/>
  <c r="Q181" i="51"/>
  <c r="R181" i="51"/>
  <c r="C182" i="51"/>
  <c r="D182" i="51"/>
  <c r="E182" i="51"/>
  <c r="F182" i="51"/>
  <c r="G182" i="51"/>
  <c r="H182" i="51"/>
  <c r="I182" i="51"/>
  <c r="J182" i="51"/>
  <c r="K182" i="51"/>
  <c r="L182" i="51"/>
  <c r="M182" i="51"/>
  <c r="N182" i="51"/>
  <c r="O182" i="51"/>
  <c r="P182" i="51"/>
  <c r="Q182" i="51"/>
  <c r="R182" i="51"/>
  <c r="C183" i="51"/>
  <c r="D183" i="51"/>
  <c r="E183" i="51"/>
  <c r="F183" i="51"/>
  <c r="G183" i="51"/>
  <c r="H183" i="51"/>
  <c r="I183" i="51"/>
  <c r="J183" i="51"/>
  <c r="K183" i="51"/>
  <c r="L183" i="51"/>
  <c r="M183" i="51"/>
  <c r="N183" i="51"/>
  <c r="O183" i="51"/>
  <c r="P183" i="51"/>
  <c r="Q183" i="51"/>
  <c r="R183" i="51"/>
  <c r="C184" i="51"/>
  <c r="D184" i="51"/>
  <c r="E184" i="51"/>
  <c r="F184" i="51"/>
  <c r="G184" i="51"/>
  <c r="H184" i="51"/>
  <c r="I184" i="51"/>
  <c r="J184" i="51"/>
  <c r="K184" i="51"/>
  <c r="L184" i="51"/>
  <c r="M184" i="51"/>
  <c r="N184" i="51"/>
  <c r="O184" i="51"/>
  <c r="P184" i="51"/>
  <c r="Q184" i="51"/>
  <c r="R184" i="51"/>
  <c r="C185" i="51"/>
  <c r="D185" i="51"/>
  <c r="E185" i="51"/>
  <c r="F185" i="51"/>
  <c r="G185" i="51"/>
  <c r="H185" i="51"/>
  <c r="I185" i="51"/>
  <c r="J185" i="51"/>
  <c r="K185" i="51"/>
  <c r="L185" i="51"/>
  <c r="M185" i="51"/>
  <c r="N185" i="51"/>
  <c r="O185" i="51"/>
  <c r="P185" i="51"/>
  <c r="Q185" i="51"/>
  <c r="R185" i="51"/>
  <c r="C186" i="51"/>
  <c r="D186" i="51"/>
  <c r="E186" i="51"/>
  <c r="F186" i="51"/>
  <c r="G186" i="51"/>
  <c r="H186" i="51"/>
  <c r="I186" i="51"/>
  <c r="J186" i="51"/>
  <c r="K186" i="51"/>
  <c r="L186" i="51"/>
  <c r="M186" i="51"/>
  <c r="N186" i="51"/>
  <c r="O186" i="51"/>
  <c r="P186" i="51"/>
  <c r="Q186" i="51"/>
  <c r="R186" i="51"/>
  <c r="C187" i="51"/>
  <c r="D187" i="51"/>
  <c r="E187" i="51"/>
  <c r="F187" i="51"/>
  <c r="G187" i="51"/>
  <c r="H187" i="51"/>
  <c r="I187" i="51"/>
  <c r="J187" i="51"/>
  <c r="K187" i="51"/>
  <c r="L187" i="51"/>
  <c r="M187" i="51"/>
  <c r="N187" i="51"/>
  <c r="O187" i="51"/>
  <c r="P187" i="51"/>
  <c r="Q187" i="51"/>
  <c r="R187" i="51"/>
  <c r="C188" i="51"/>
  <c r="D188" i="51"/>
  <c r="E188" i="51"/>
  <c r="F188" i="51"/>
  <c r="G188" i="51"/>
  <c r="H188" i="51"/>
  <c r="I188" i="51"/>
  <c r="J188" i="51"/>
  <c r="K188" i="51"/>
  <c r="L188" i="51"/>
  <c r="M188" i="51"/>
  <c r="N188" i="51"/>
  <c r="O188" i="51"/>
  <c r="P188" i="51"/>
  <c r="Q188" i="51"/>
  <c r="R188" i="51"/>
  <c r="C189" i="51"/>
  <c r="D189" i="51"/>
  <c r="E189" i="51"/>
  <c r="F189" i="51"/>
  <c r="G189" i="51"/>
  <c r="H189" i="51"/>
  <c r="I189" i="51"/>
  <c r="J189" i="51"/>
  <c r="K189" i="51"/>
  <c r="L189" i="51"/>
  <c r="M189" i="51"/>
  <c r="N189" i="51"/>
  <c r="O189" i="51"/>
  <c r="P189" i="51"/>
  <c r="Q189" i="51"/>
  <c r="R189" i="51"/>
  <c r="C190" i="51"/>
  <c r="D190" i="51"/>
  <c r="E190" i="51"/>
  <c r="F190" i="51"/>
  <c r="G190" i="51"/>
  <c r="H190" i="51"/>
  <c r="I190" i="51"/>
  <c r="J190" i="51"/>
  <c r="K190" i="51"/>
  <c r="L190" i="51"/>
  <c r="M190" i="51"/>
  <c r="N190" i="51"/>
  <c r="O190" i="51"/>
  <c r="P190" i="51"/>
  <c r="Q190" i="51"/>
  <c r="R190" i="51"/>
  <c r="C191" i="51"/>
  <c r="D191" i="51"/>
  <c r="E191" i="51"/>
  <c r="F191" i="51"/>
  <c r="G191" i="51"/>
  <c r="H191" i="51"/>
  <c r="I191" i="51"/>
  <c r="J191" i="51"/>
  <c r="K191" i="51"/>
  <c r="L191" i="51"/>
  <c r="M191" i="51"/>
  <c r="N191" i="51"/>
  <c r="O191" i="51"/>
  <c r="P191" i="51"/>
  <c r="Q191" i="51"/>
  <c r="R191" i="51"/>
  <c r="C192" i="51"/>
  <c r="D192" i="51"/>
  <c r="E192" i="51"/>
  <c r="F192" i="51"/>
  <c r="G192" i="51"/>
  <c r="H192" i="51"/>
  <c r="I192" i="51"/>
  <c r="J192" i="51"/>
  <c r="K192" i="51"/>
  <c r="L192" i="51"/>
  <c r="M192" i="51"/>
  <c r="N192" i="51"/>
  <c r="O192" i="51"/>
  <c r="P192" i="51"/>
  <c r="Q192" i="51"/>
  <c r="R192" i="51"/>
  <c r="C193" i="51"/>
  <c r="D193" i="51"/>
  <c r="E193" i="51"/>
  <c r="F193" i="51"/>
  <c r="G193" i="51"/>
  <c r="H193" i="51"/>
  <c r="I193" i="51"/>
  <c r="J193" i="51"/>
  <c r="K193" i="51"/>
  <c r="L193" i="51"/>
  <c r="M193" i="51"/>
  <c r="N193" i="51"/>
  <c r="O193" i="51"/>
  <c r="P193" i="51"/>
  <c r="Q193" i="51"/>
  <c r="R193" i="51"/>
  <c r="C194" i="51"/>
  <c r="D194" i="51"/>
  <c r="E194" i="51"/>
  <c r="F194" i="51"/>
  <c r="G194" i="51"/>
  <c r="H194" i="51"/>
  <c r="I194" i="51"/>
  <c r="J194" i="51"/>
  <c r="K194" i="51"/>
  <c r="L194" i="51"/>
  <c r="M194" i="51"/>
  <c r="N194" i="51"/>
  <c r="O194" i="51"/>
  <c r="P194" i="51"/>
  <c r="Q194" i="51"/>
  <c r="R194" i="51"/>
  <c r="C195" i="51"/>
  <c r="D195" i="51"/>
  <c r="E195" i="51"/>
  <c r="F195" i="51"/>
  <c r="G195" i="51"/>
  <c r="H195" i="51"/>
  <c r="I195" i="51"/>
  <c r="J195" i="51"/>
  <c r="K195" i="51"/>
  <c r="L195" i="51"/>
  <c r="M195" i="51"/>
  <c r="N195" i="51"/>
  <c r="O195" i="51"/>
  <c r="P195" i="51"/>
  <c r="Q195" i="51"/>
  <c r="R195" i="51"/>
  <c r="C196" i="51"/>
  <c r="D196" i="51"/>
  <c r="E196" i="51"/>
  <c r="F196" i="51"/>
  <c r="G196" i="51"/>
  <c r="H196" i="51"/>
  <c r="I196" i="51"/>
  <c r="J196" i="51"/>
  <c r="K196" i="51"/>
  <c r="L196" i="51"/>
  <c r="M196" i="51"/>
  <c r="N196" i="51"/>
  <c r="O196" i="51"/>
  <c r="P196" i="51"/>
  <c r="Q196" i="51"/>
  <c r="R196" i="51"/>
  <c r="C197" i="51"/>
  <c r="D197" i="51"/>
  <c r="E197" i="51"/>
  <c r="F197" i="51"/>
  <c r="G197" i="51"/>
  <c r="H197" i="51"/>
  <c r="I197" i="51"/>
  <c r="J197" i="51"/>
  <c r="K197" i="51"/>
  <c r="L197" i="51"/>
  <c r="M197" i="51"/>
  <c r="N197" i="51"/>
  <c r="O197" i="51"/>
  <c r="P197" i="51"/>
  <c r="Q197" i="51"/>
  <c r="R197" i="51"/>
  <c r="C198" i="51"/>
  <c r="D198" i="51"/>
  <c r="E198" i="51"/>
  <c r="F198" i="51"/>
  <c r="G198" i="51"/>
  <c r="H198" i="51"/>
  <c r="I198" i="51"/>
  <c r="J198" i="51"/>
  <c r="K198" i="51"/>
  <c r="L198" i="51"/>
  <c r="M198" i="51"/>
  <c r="N198" i="51"/>
  <c r="O198" i="51"/>
  <c r="P198" i="51"/>
  <c r="Q198" i="51"/>
  <c r="R198" i="51"/>
  <c r="C199" i="51"/>
  <c r="D199" i="51"/>
  <c r="E199" i="51"/>
  <c r="F199" i="51"/>
  <c r="G199" i="51"/>
  <c r="H199" i="51"/>
  <c r="I199" i="51"/>
  <c r="J199" i="51"/>
  <c r="K199" i="51"/>
  <c r="L199" i="51"/>
  <c r="M199" i="51"/>
  <c r="N199" i="51"/>
  <c r="O199" i="51"/>
  <c r="P199" i="51"/>
  <c r="Q199" i="51"/>
  <c r="R199" i="51"/>
  <c r="C200" i="51"/>
  <c r="D200" i="51"/>
  <c r="E200" i="51"/>
  <c r="F200" i="51"/>
  <c r="G200" i="51"/>
  <c r="H200" i="51"/>
  <c r="I200" i="51"/>
  <c r="J200" i="51"/>
  <c r="K200" i="51"/>
  <c r="L200" i="51"/>
  <c r="M200" i="51"/>
  <c r="N200" i="51"/>
  <c r="O200" i="51"/>
  <c r="P200" i="51"/>
  <c r="Q200" i="51"/>
  <c r="R200" i="51"/>
  <c r="C201" i="51"/>
  <c r="D201" i="51"/>
  <c r="E201" i="51"/>
  <c r="F201" i="51"/>
  <c r="G201" i="51"/>
  <c r="H201" i="51"/>
  <c r="I201" i="51"/>
  <c r="J201" i="51"/>
  <c r="K201" i="51"/>
  <c r="L201" i="51"/>
  <c r="M201" i="51"/>
  <c r="N201" i="51"/>
  <c r="O201" i="51"/>
  <c r="P201" i="51"/>
  <c r="Q201" i="51"/>
  <c r="R201" i="51"/>
  <c r="C202" i="51"/>
  <c r="D202" i="51"/>
  <c r="E202" i="51"/>
  <c r="F202" i="51"/>
  <c r="G202" i="51"/>
  <c r="H202" i="51"/>
  <c r="I202" i="51"/>
  <c r="J202" i="51"/>
  <c r="K202" i="51"/>
  <c r="L202" i="51"/>
  <c r="M202" i="51"/>
  <c r="N202" i="51"/>
  <c r="O202" i="51"/>
  <c r="P202" i="51"/>
  <c r="Q202" i="51"/>
  <c r="R202" i="51"/>
  <c r="C203" i="51"/>
  <c r="D203" i="51"/>
  <c r="E203" i="51"/>
  <c r="F203" i="51"/>
  <c r="G203" i="51"/>
  <c r="H203" i="51"/>
  <c r="I203" i="51"/>
  <c r="J203" i="51"/>
  <c r="K203" i="51"/>
  <c r="L203" i="51"/>
  <c r="M203" i="51"/>
  <c r="N203" i="51"/>
  <c r="O203" i="51"/>
  <c r="P203" i="51"/>
  <c r="Q203" i="51"/>
  <c r="R203" i="51"/>
  <c r="C204" i="51"/>
  <c r="D204" i="51"/>
  <c r="E204" i="51"/>
  <c r="F204" i="51"/>
  <c r="G204" i="51"/>
  <c r="H204" i="51"/>
  <c r="I204" i="51"/>
  <c r="J204" i="51"/>
  <c r="K204" i="51"/>
  <c r="L204" i="51"/>
  <c r="M204" i="51"/>
  <c r="N204" i="51"/>
  <c r="O204" i="51"/>
  <c r="P204" i="51"/>
  <c r="Q204" i="51"/>
  <c r="R204" i="51"/>
  <c r="C205" i="51"/>
  <c r="D205" i="51"/>
  <c r="E205" i="51"/>
  <c r="F205" i="51"/>
  <c r="G205" i="51"/>
  <c r="H205" i="51"/>
  <c r="I205" i="51"/>
  <c r="J205" i="51"/>
  <c r="K205" i="51"/>
  <c r="L205" i="51"/>
  <c r="M205" i="51"/>
  <c r="N205" i="51"/>
  <c r="O205" i="51"/>
  <c r="P205" i="51"/>
  <c r="Q205" i="51"/>
  <c r="R205" i="51"/>
  <c r="C206" i="51"/>
  <c r="D206" i="51"/>
  <c r="E206" i="51"/>
  <c r="F206" i="51"/>
  <c r="G206" i="51"/>
  <c r="H206" i="51"/>
  <c r="I206" i="51"/>
  <c r="J206" i="51"/>
  <c r="K206" i="51"/>
  <c r="L206" i="51"/>
  <c r="M206" i="51"/>
  <c r="N206" i="51"/>
  <c r="O206" i="51"/>
  <c r="P206" i="51"/>
  <c r="Q206" i="51"/>
  <c r="R206" i="51"/>
  <c r="C207" i="51"/>
  <c r="D207" i="51"/>
  <c r="E207" i="51"/>
  <c r="F207" i="51"/>
  <c r="G207" i="51"/>
  <c r="H207" i="51"/>
  <c r="I207" i="51"/>
  <c r="J207" i="51"/>
  <c r="K207" i="51"/>
  <c r="L207" i="51"/>
  <c r="M207" i="51"/>
  <c r="N207" i="51"/>
  <c r="O207" i="51"/>
  <c r="P207" i="51"/>
  <c r="Q207" i="51"/>
  <c r="R207" i="51"/>
  <c r="C208" i="51"/>
  <c r="D208" i="51"/>
  <c r="E208" i="51"/>
  <c r="F208" i="51"/>
  <c r="G208" i="51"/>
  <c r="H208" i="51"/>
  <c r="I208" i="51"/>
  <c r="J208" i="51"/>
  <c r="K208" i="51"/>
  <c r="L208" i="51"/>
  <c r="M208" i="51"/>
  <c r="N208" i="51"/>
  <c r="O208" i="51"/>
  <c r="P208" i="51"/>
  <c r="Q208" i="51"/>
  <c r="R208" i="51"/>
  <c r="C209" i="51"/>
  <c r="D209" i="51"/>
  <c r="E209" i="51"/>
  <c r="F209" i="51"/>
  <c r="G209" i="51"/>
  <c r="H209" i="51"/>
  <c r="I209" i="51"/>
  <c r="J209" i="51"/>
  <c r="K209" i="51"/>
  <c r="L209" i="51"/>
  <c r="M209" i="51"/>
  <c r="N209" i="51"/>
  <c r="O209" i="51"/>
  <c r="P209" i="51"/>
  <c r="Q209" i="51"/>
  <c r="R209" i="51"/>
  <c r="C210" i="51"/>
  <c r="D210" i="51"/>
  <c r="E210" i="51"/>
  <c r="F210" i="51"/>
  <c r="G210" i="51"/>
  <c r="H210" i="51"/>
  <c r="I210" i="51"/>
  <c r="J210" i="51"/>
  <c r="K210" i="51"/>
  <c r="L210" i="51"/>
  <c r="M210" i="51"/>
  <c r="N210" i="51"/>
  <c r="O210" i="51"/>
  <c r="P210" i="51"/>
  <c r="Q210" i="51"/>
  <c r="R210" i="51"/>
  <c r="C211" i="51"/>
  <c r="D211" i="51"/>
  <c r="E211" i="51"/>
  <c r="F211" i="51"/>
  <c r="G211" i="51"/>
  <c r="H211" i="51"/>
  <c r="I211" i="51"/>
  <c r="J211" i="51"/>
  <c r="K211" i="51"/>
  <c r="L211" i="51"/>
  <c r="M211" i="51"/>
  <c r="N211" i="51"/>
  <c r="O211" i="51"/>
  <c r="P211" i="51"/>
  <c r="Q211" i="51"/>
  <c r="R211" i="51"/>
  <c r="C212" i="51"/>
  <c r="D212" i="51"/>
  <c r="E212" i="51"/>
  <c r="F212" i="51"/>
  <c r="G212" i="51"/>
  <c r="H212" i="51"/>
  <c r="I212" i="51"/>
  <c r="J212" i="51"/>
  <c r="K212" i="51"/>
  <c r="L212" i="51"/>
  <c r="M212" i="51"/>
  <c r="N212" i="51"/>
  <c r="O212" i="51"/>
  <c r="P212" i="51"/>
  <c r="Q212" i="51"/>
  <c r="R212" i="51"/>
  <c r="C223" i="51"/>
  <c r="D223" i="51"/>
  <c r="E223" i="51"/>
  <c r="F223" i="51"/>
  <c r="G223" i="51"/>
  <c r="H223" i="51"/>
  <c r="I223" i="51"/>
  <c r="J223" i="51"/>
  <c r="K223" i="51"/>
  <c r="L223" i="51"/>
  <c r="M223" i="51"/>
  <c r="N223" i="51"/>
  <c r="O223" i="51"/>
  <c r="P223" i="51"/>
  <c r="Q223" i="51"/>
  <c r="R223" i="51"/>
  <c r="C224" i="51"/>
  <c r="D224" i="51"/>
  <c r="E224" i="51"/>
  <c r="F224" i="51"/>
  <c r="G224" i="51"/>
  <c r="H224" i="51"/>
  <c r="I224" i="51"/>
  <c r="J224" i="51"/>
  <c r="K224" i="51"/>
  <c r="L224" i="51"/>
  <c r="M224" i="51"/>
  <c r="N224" i="51"/>
  <c r="O224" i="51"/>
  <c r="P224" i="51"/>
  <c r="Q224" i="51"/>
  <c r="R224" i="51"/>
  <c r="C225" i="51"/>
  <c r="D225" i="51"/>
  <c r="E225" i="51"/>
  <c r="F225" i="51"/>
  <c r="G225" i="51"/>
  <c r="H225" i="51"/>
  <c r="I225" i="51"/>
  <c r="J225" i="51"/>
  <c r="K225" i="51"/>
  <c r="L225" i="51"/>
  <c r="M225" i="51"/>
  <c r="N225" i="51"/>
  <c r="O225" i="51"/>
  <c r="P225" i="51"/>
  <c r="Q225" i="51"/>
  <c r="R225" i="51"/>
  <c r="C226" i="51"/>
  <c r="D226" i="51"/>
  <c r="E226" i="51"/>
  <c r="F226" i="51"/>
  <c r="G226" i="51"/>
  <c r="H226" i="51"/>
  <c r="I226" i="51"/>
  <c r="J226" i="51"/>
  <c r="K226" i="51"/>
  <c r="L226" i="51"/>
  <c r="M226" i="51"/>
  <c r="N226" i="51"/>
  <c r="O226" i="51"/>
  <c r="P226" i="51"/>
  <c r="Q226" i="51"/>
  <c r="R226" i="51"/>
  <c r="C229" i="51"/>
  <c r="D229" i="51"/>
  <c r="E229" i="51"/>
  <c r="F229" i="51"/>
  <c r="G229" i="51"/>
  <c r="H229" i="51"/>
  <c r="I229" i="51"/>
  <c r="J229" i="51"/>
  <c r="K229" i="51"/>
  <c r="L229" i="51"/>
  <c r="M229" i="51"/>
  <c r="N229" i="51"/>
  <c r="O229" i="51"/>
  <c r="P229" i="51"/>
  <c r="Q229" i="51"/>
  <c r="R229" i="51"/>
  <c r="C230" i="51"/>
  <c r="D230" i="51"/>
  <c r="E230" i="51"/>
  <c r="F230" i="51"/>
  <c r="G230" i="51"/>
  <c r="H230" i="51"/>
  <c r="I230" i="51"/>
  <c r="J230" i="51"/>
  <c r="K230" i="51"/>
  <c r="L230" i="51"/>
  <c r="M230" i="51"/>
  <c r="N230" i="51"/>
  <c r="O230" i="51"/>
  <c r="P230" i="51"/>
  <c r="Q230" i="51"/>
  <c r="R230" i="51"/>
  <c r="C231" i="51"/>
  <c r="D231" i="51"/>
  <c r="E231" i="51"/>
  <c r="F231" i="51"/>
  <c r="G231" i="51"/>
  <c r="H231" i="51"/>
  <c r="I231" i="51"/>
  <c r="J231" i="51"/>
  <c r="K231" i="51"/>
  <c r="L231" i="51"/>
  <c r="M231" i="51"/>
  <c r="N231" i="51"/>
  <c r="O231" i="51"/>
  <c r="P231" i="51"/>
  <c r="Q231" i="51"/>
  <c r="R231" i="51"/>
  <c r="C232" i="51"/>
  <c r="D232" i="51"/>
  <c r="E232" i="51"/>
  <c r="F232" i="51"/>
  <c r="G232" i="51"/>
  <c r="H232" i="51"/>
  <c r="I232" i="51"/>
  <c r="J232" i="51"/>
  <c r="K232" i="51"/>
  <c r="L232" i="51"/>
  <c r="M232" i="51"/>
  <c r="N232" i="51"/>
  <c r="O232" i="51"/>
  <c r="P232" i="51"/>
  <c r="Q232" i="51"/>
  <c r="R232" i="51"/>
  <c r="C233" i="51"/>
  <c r="D233" i="51"/>
  <c r="E233" i="51"/>
  <c r="F233" i="51"/>
  <c r="G233" i="51"/>
  <c r="H233" i="51"/>
  <c r="I233" i="51"/>
  <c r="J233" i="51"/>
  <c r="K233" i="51"/>
  <c r="L233" i="51"/>
  <c r="M233" i="51"/>
  <c r="N233" i="51"/>
  <c r="O233" i="51"/>
  <c r="P233" i="51"/>
  <c r="Q233" i="51"/>
  <c r="R233" i="51"/>
  <c r="C235" i="51"/>
  <c r="C49" i="51" s="1"/>
  <c r="C50" i="51" s="1"/>
  <c r="D235" i="51"/>
  <c r="D49" i="51" s="1"/>
  <c r="D50" i="51" s="1"/>
  <c r="E235" i="51"/>
  <c r="E49" i="51" s="1"/>
  <c r="E50" i="51" s="1"/>
  <c r="F235" i="51"/>
  <c r="F49" i="51" s="1"/>
  <c r="F50" i="51" s="1"/>
  <c r="G235" i="51"/>
  <c r="G49" i="51" s="1"/>
  <c r="G50" i="51" s="1"/>
  <c r="H235" i="51"/>
  <c r="H49" i="51" s="1"/>
  <c r="H50" i="51" s="1"/>
  <c r="I235" i="51"/>
  <c r="I49" i="51" s="1"/>
  <c r="I50" i="51" s="1"/>
  <c r="J235" i="51"/>
  <c r="J49" i="51" s="1"/>
  <c r="J50" i="51" s="1"/>
  <c r="K235" i="51"/>
  <c r="K49" i="51" s="1"/>
  <c r="K50" i="51" s="1"/>
  <c r="L235" i="51"/>
  <c r="L49" i="51" s="1"/>
  <c r="L50" i="51" s="1"/>
  <c r="M235" i="51"/>
  <c r="M49" i="51" s="1"/>
  <c r="M50" i="51" s="1"/>
  <c r="N235" i="51"/>
  <c r="N49" i="51" s="1"/>
  <c r="N50" i="51" s="1"/>
  <c r="O235" i="51"/>
  <c r="O49" i="51" s="1"/>
  <c r="O50" i="51" s="1"/>
  <c r="P235" i="51"/>
  <c r="P49" i="51" s="1"/>
  <c r="P50" i="51" s="1"/>
  <c r="Q235" i="51"/>
  <c r="Q49" i="51" s="1"/>
  <c r="Q50" i="51" s="1"/>
  <c r="R235" i="51"/>
  <c r="R49" i="51" s="1"/>
  <c r="R50" i="51" s="1"/>
  <c r="E32" i="19"/>
  <c r="G32" i="19"/>
  <c r="D32" i="19" s="1"/>
  <c r="H32" i="19"/>
  <c r="H35" i="19" s="1"/>
  <c r="E35" i="19" s="1"/>
  <c r="G35" i="19"/>
  <c r="D35" i="19" s="1"/>
  <c r="G32" i="20"/>
  <c r="H32" i="20"/>
  <c r="G32" i="21"/>
  <c r="D32" i="21" s="1"/>
  <c r="H32" i="21"/>
  <c r="E32" i="22"/>
  <c r="G32" i="22"/>
  <c r="D32" i="22" s="1"/>
  <c r="H32" i="22"/>
  <c r="H35" i="22" s="1"/>
  <c r="E35" i="22"/>
  <c r="E36" i="22" s="1"/>
  <c r="D127" i="22" s="1"/>
  <c r="G35" i="22"/>
  <c r="D35" i="22" s="1"/>
  <c r="D36" i="22" s="1"/>
  <c r="G32" i="23"/>
  <c r="H32" i="23"/>
  <c r="E32" i="23" s="1"/>
  <c r="H35" i="23"/>
  <c r="E35" i="23" s="1"/>
  <c r="E36" i="23" s="1"/>
  <c r="D127" i="23" s="1"/>
  <c r="F134" i="23" s="1"/>
  <c r="D141" i="23" s="1"/>
  <c r="E32" i="24"/>
  <c r="G32" i="24"/>
  <c r="D32" i="24" s="1"/>
  <c r="H32" i="24"/>
  <c r="H35" i="24" s="1"/>
  <c r="E35" i="24"/>
  <c r="E36" i="24" s="1"/>
  <c r="D127" i="24" s="1"/>
  <c r="G35" i="24"/>
  <c r="D35" i="24" s="1"/>
  <c r="F134" i="24"/>
  <c r="D141" i="24" s="1"/>
  <c r="E31" i="25"/>
  <c r="G32" i="25"/>
  <c r="H32" i="25"/>
  <c r="E34" i="25"/>
  <c r="H35" i="25"/>
  <c r="H164" i="23" l="1"/>
  <c r="H168" i="23"/>
  <c r="H172" i="23"/>
  <c r="H176" i="23"/>
  <c r="H180" i="23"/>
  <c r="H193" i="23"/>
  <c r="H208" i="23"/>
  <c r="H171" i="23"/>
  <c r="H174" i="23"/>
  <c r="H177" i="23"/>
  <c r="H195" i="23"/>
  <c r="H175" i="23"/>
  <c r="H178" i="23"/>
  <c r="H179" i="23"/>
  <c r="H196" i="23"/>
  <c r="H163" i="23"/>
  <c r="H165" i="23"/>
  <c r="H166" i="23"/>
  <c r="H167" i="23"/>
  <c r="H169" i="23"/>
  <c r="H170" i="23"/>
  <c r="H173" i="23"/>
  <c r="H194" i="23"/>
  <c r="H207" i="23"/>
  <c r="H209" i="23"/>
  <c r="H210" i="23"/>
  <c r="E35" i="25"/>
  <c r="D126" i="25" s="1"/>
  <c r="H164" i="24"/>
  <c r="H168" i="24"/>
  <c r="H172" i="24"/>
  <c r="H176" i="24"/>
  <c r="H180" i="24"/>
  <c r="H193" i="24"/>
  <c r="H208" i="24"/>
  <c r="H165" i="24"/>
  <c r="H175" i="24"/>
  <c r="H178" i="24"/>
  <c r="H196" i="24"/>
  <c r="H179" i="24"/>
  <c r="H163" i="24"/>
  <c r="H166" i="24"/>
  <c r="H167" i="24"/>
  <c r="H169" i="24"/>
  <c r="H170" i="24"/>
  <c r="H171" i="24"/>
  <c r="H173" i="24"/>
  <c r="H174" i="24"/>
  <c r="H177" i="24"/>
  <c r="H194" i="24"/>
  <c r="H195" i="24"/>
  <c r="H207" i="24"/>
  <c r="H209" i="24"/>
  <c r="H210" i="24"/>
  <c r="F136" i="22"/>
  <c r="D143" i="22" s="1"/>
  <c r="F135" i="22"/>
  <c r="D142" i="22" s="1"/>
  <c r="F137" i="22"/>
  <c r="D144" i="22" s="1"/>
  <c r="D36" i="24"/>
  <c r="D40" i="24"/>
  <c r="D41" i="24" s="1"/>
  <c r="D45" i="24" s="1"/>
  <c r="F136" i="23"/>
  <c r="D143" i="23" s="1"/>
  <c r="F137" i="23"/>
  <c r="D144" i="23" s="1"/>
  <c r="F135" i="23"/>
  <c r="D142" i="23" s="1"/>
  <c r="F134" i="22"/>
  <c r="D141" i="22" s="1"/>
  <c r="F136" i="24"/>
  <c r="D143" i="24" s="1"/>
  <c r="F135" i="24"/>
  <c r="D142" i="24" s="1"/>
  <c r="F137" i="24"/>
  <c r="D144" i="24" s="1"/>
  <c r="E32" i="21"/>
  <c r="H35" i="21"/>
  <c r="E35" i="21" s="1"/>
  <c r="E36" i="21" s="1"/>
  <c r="D127" i="21" s="1"/>
  <c r="E32" i="20"/>
  <c r="H35" i="20"/>
  <c r="E35" i="20" s="1"/>
  <c r="D36" i="19"/>
  <c r="D40" i="19"/>
  <c r="D41" i="19" s="1"/>
  <c r="D45" i="19" s="1"/>
  <c r="D31" i="25"/>
  <c r="G35" i="25"/>
  <c r="D34" i="25" s="1"/>
  <c r="D32" i="23"/>
  <c r="G35" i="23"/>
  <c r="D35" i="23" s="1"/>
  <c r="E36" i="19"/>
  <c r="D127" i="19" s="1"/>
  <c r="D32" i="20"/>
  <c r="G35" i="20"/>
  <c r="D35" i="20" s="1"/>
  <c r="D40" i="22"/>
  <c r="D41" i="22" s="1"/>
  <c r="D45" i="22" s="1"/>
  <c r="G35" i="21"/>
  <c r="D35" i="21" s="1"/>
  <c r="D36" i="21" l="1"/>
  <c r="D40" i="21"/>
  <c r="D41" i="21" s="1"/>
  <c r="D45" i="21" s="1"/>
  <c r="F136" i="19"/>
  <c r="D143" i="19" s="1"/>
  <c r="F134" i="19"/>
  <c r="D141" i="19" s="1"/>
  <c r="F135" i="19"/>
  <c r="D142" i="19" s="1"/>
  <c r="F137" i="19"/>
  <c r="D144" i="19" s="1"/>
  <c r="F166" i="24"/>
  <c r="F170" i="24"/>
  <c r="F174" i="24"/>
  <c r="F178" i="24"/>
  <c r="F195" i="24"/>
  <c r="F210" i="24"/>
  <c r="F163" i="24"/>
  <c r="F173" i="24"/>
  <c r="F176" i="24"/>
  <c r="F179" i="24"/>
  <c r="F194" i="24"/>
  <c r="F164" i="24"/>
  <c r="F165" i="24"/>
  <c r="F167" i="24"/>
  <c r="F168" i="24"/>
  <c r="F169" i="24"/>
  <c r="F171" i="24"/>
  <c r="F172" i="24"/>
  <c r="F175" i="24"/>
  <c r="F193" i="24"/>
  <c r="F196" i="24"/>
  <c r="F207" i="24"/>
  <c r="F208" i="24"/>
  <c r="F209" i="24"/>
  <c r="F177" i="24"/>
  <c r="F180" i="24"/>
  <c r="G163" i="23"/>
  <c r="G167" i="23"/>
  <c r="G171" i="23"/>
  <c r="G175" i="23"/>
  <c r="G179" i="23"/>
  <c r="G196" i="23"/>
  <c r="G207" i="23"/>
  <c r="G165" i="23"/>
  <c r="G168" i="23"/>
  <c r="G178" i="23"/>
  <c r="G208" i="23"/>
  <c r="G166" i="23"/>
  <c r="G169" i="23"/>
  <c r="G170" i="23"/>
  <c r="G172" i="23"/>
  <c r="G173" i="23"/>
  <c r="G174" i="23"/>
  <c r="G176" i="23"/>
  <c r="G177" i="23"/>
  <c r="G180" i="23"/>
  <c r="G193" i="23"/>
  <c r="G194" i="23"/>
  <c r="G195" i="23"/>
  <c r="G209" i="23"/>
  <c r="G210" i="23"/>
  <c r="G164" i="23"/>
  <c r="G163" i="22"/>
  <c r="G167" i="22"/>
  <c r="G171" i="22"/>
  <c r="G175" i="22"/>
  <c r="G179" i="22"/>
  <c r="G196" i="22"/>
  <c r="G207" i="22"/>
  <c r="G164" i="22"/>
  <c r="G174" i="22"/>
  <c r="G177" i="22"/>
  <c r="G180" i="22"/>
  <c r="G195" i="22"/>
  <c r="G166" i="22"/>
  <c r="G169" i="22"/>
  <c r="G172" i="22"/>
  <c r="G193" i="22"/>
  <c r="G165" i="22"/>
  <c r="G168" i="22"/>
  <c r="G170" i="22"/>
  <c r="G173" i="22"/>
  <c r="G176" i="22"/>
  <c r="G194" i="22"/>
  <c r="G208" i="22"/>
  <c r="G209" i="22"/>
  <c r="G210" i="22"/>
  <c r="G178" i="22"/>
  <c r="K163" i="22"/>
  <c r="K167" i="22"/>
  <c r="K171" i="22"/>
  <c r="K175" i="22"/>
  <c r="K179" i="22"/>
  <c r="K196" i="22"/>
  <c r="K207" i="22"/>
  <c r="K165" i="22"/>
  <c r="K168" i="22"/>
  <c r="K178" i="22"/>
  <c r="K208" i="22"/>
  <c r="K170" i="22"/>
  <c r="K173" i="22"/>
  <c r="K176" i="22"/>
  <c r="K166" i="22"/>
  <c r="K169" i="22"/>
  <c r="K172" i="22"/>
  <c r="K193" i="22"/>
  <c r="D145" i="22"/>
  <c r="K174" i="22"/>
  <c r="K177" i="22"/>
  <c r="K180" i="22"/>
  <c r="K195" i="22"/>
  <c r="K209" i="22"/>
  <c r="K210" i="22"/>
  <c r="K164" i="22"/>
  <c r="K194" i="22"/>
  <c r="F136" i="21"/>
  <c r="D143" i="21" s="1"/>
  <c r="F137" i="21"/>
  <c r="D144" i="21" s="1"/>
  <c r="F135" i="21"/>
  <c r="D142" i="21" s="1"/>
  <c r="F134" i="21"/>
  <c r="D141" i="21" s="1"/>
  <c r="F166" i="22"/>
  <c r="F170" i="22"/>
  <c r="F174" i="22"/>
  <c r="F178" i="22"/>
  <c r="F195" i="22"/>
  <c r="F210" i="22"/>
  <c r="F165" i="22"/>
  <c r="F168" i="22"/>
  <c r="F171" i="22"/>
  <c r="F208" i="22"/>
  <c r="F163" i="22"/>
  <c r="F173" i="22"/>
  <c r="F176" i="22"/>
  <c r="F179" i="22"/>
  <c r="F194" i="22"/>
  <c r="F196" i="22"/>
  <c r="F209" i="22"/>
  <c r="F169" i="22"/>
  <c r="F175" i="22"/>
  <c r="F164" i="22"/>
  <c r="F167" i="22"/>
  <c r="F207" i="22"/>
  <c r="F172" i="22"/>
  <c r="F193" i="22"/>
  <c r="F180" i="22"/>
  <c r="F177" i="22"/>
  <c r="F135" i="25"/>
  <c r="D142" i="25" s="1"/>
  <c r="F133" i="25"/>
  <c r="D140" i="25" s="1"/>
  <c r="F134" i="25"/>
  <c r="D141" i="25" s="1"/>
  <c r="F136" i="25"/>
  <c r="D143" i="25" s="1"/>
  <c r="K163" i="19"/>
  <c r="K167" i="19"/>
  <c r="K171" i="19"/>
  <c r="K175" i="19"/>
  <c r="K179" i="19"/>
  <c r="K196" i="19"/>
  <c r="K207" i="19"/>
  <c r="D145" i="19"/>
  <c r="K165" i="19"/>
  <c r="K169" i="19"/>
  <c r="K173" i="19"/>
  <c r="K177" i="19"/>
  <c r="K194" i="19"/>
  <c r="K209" i="19"/>
  <c r="K168" i="19"/>
  <c r="K176" i="19"/>
  <c r="K208" i="19"/>
  <c r="K166" i="19"/>
  <c r="K174" i="19"/>
  <c r="K195" i="19"/>
  <c r="K164" i="19"/>
  <c r="K180" i="19"/>
  <c r="K172" i="19"/>
  <c r="K193" i="19"/>
  <c r="K178" i="19"/>
  <c r="K170" i="19"/>
  <c r="K210" i="19"/>
  <c r="H164" i="22"/>
  <c r="H168" i="22"/>
  <c r="H172" i="22"/>
  <c r="H176" i="22"/>
  <c r="H180" i="22"/>
  <c r="H193" i="22"/>
  <c r="H208" i="22"/>
  <c r="H167" i="22"/>
  <c r="H170" i="22"/>
  <c r="H173" i="22"/>
  <c r="H194" i="22"/>
  <c r="H207" i="22"/>
  <c r="H210" i="22"/>
  <c r="H165" i="22"/>
  <c r="H175" i="22"/>
  <c r="H178" i="22"/>
  <c r="H171" i="22"/>
  <c r="H174" i="22"/>
  <c r="H177" i="22"/>
  <c r="H179" i="22"/>
  <c r="H195" i="22"/>
  <c r="H196" i="22"/>
  <c r="H209" i="22"/>
  <c r="H166" i="22"/>
  <c r="H163" i="22"/>
  <c r="H169" i="22"/>
  <c r="K163" i="24"/>
  <c r="K167" i="24"/>
  <c r="K171" i="24"/>
  <c r="K175" i="24"/>
  <c r="K179" i="24"/>
  <c r="K196" i="24"/>
  <c r="K207" i="24"/>
  <c r="K170" i="24"/>
  <c r="K173" i="24"/>
  <c r="K176" i="24"/>
  <c r="K194" i="24"/>
  <c r="K210" i="24"/>
  <c r="D145" i="24"/>
  <c r="K174" i="24"/>
  <c r="K178" i="24"/>
  <c r="K180" i="24"/>
  <c r="K164" i="24"/>
  <c r="K166" i="24"/>
  <c r="K168" i="24"/>
  <c r="K172" i="24"/>
  <c r="K208" i="24"/>
  <c r="K177" i="24"/>
  <c r="K195" i="24"/>
  <c r="K169" i="24"/>
  <c r="K193" i="24"/>
  <c r="K209" i="24"/>
  <c r="K165" i="24"/>
  <c r="D36" i="23"/>
  <c r="D40" i="23"/>
  <c r="D41" i="23" s="1"/>
  <c r="D45" i="23" s="1"/>
  <c r="D36" i="20"/>
  <c r="D40" i="20"/>
  <c r="D41" i="20" s="1"/>
  <c r="D45" i="20" s="1"/>
  <c r="D39" i="25"/>
  <c r="D40" i="25" s="1"/>
  <c r="D44" i="25" s="1"/>
  <c r="D35" i="25"/>
  <c r="E36" i="20"/>
  <c r="D127" i="20" s="1"/>
  <c r="G163" i="24"/>
  <c r="G167" i="24"/>
  <c r="G171" i="24"/>
  <c r="G175" i="24"/>
  <c r="G179" i="24"/>
  <c r="G196" i="24"/>
  <c r="G207" i="24"/>
  <c r="G166" i="24"/>
  <c r="G169" i="24"/>
  <c r="G172" i="24"/>
  <c r="G193" i="24"/>
  <c r="G209" i="24"/>
  <c r="G170" i="24"/>
  <c r="G173" i="24"/>
  <c r="G174" i="24"/>
  <c r="G176" i="24"/>
  <c r="G177" i="24"/>
  <c r="G178" i="24"/>
  <c r="G180" i="24"/>
  <c r="G194" i="24"/>
  <c r="G195" i="24"/>
  <c r="G210" i="24"/>
  <c r="G164" i="24"/>
  <c r="G165" i="24"/>
  <c r="G168" i="24"/>
  <c r="G208" i="24"/>
  <c r="F166" i="23"/>
  <c r="I166" i="23" s="1"/>
  <c r="J166" i="23" s="1"/>
  <c r="F170" i="23"/>
  <c r="I170" i="23" s="1"/>
  <c r="J170" i="23" s="1"/>
  <c r="F174" i="23"/>
  <c r="I174" i="23" s="1"/>
  <c r="J174" i="23" s="1"/>
  <c r="F178" i="23"/>
  <c r="I178" i="23" s="1"/>
  <c r="J178" i="23" s="1"/>
  <c r="F195" i="23"/>
  <c r="I195" i="23" s="1"/>
  <c r="J195" i="23" s="1"/>
  <c r="F210" i="23"/>
  <c r="I210" i="23" s="1"/>
  <c r="J210" i="23" s="1"/>
  <c r="F169" i="23"/>
  <c r="I169" i="23" s="1"/>
  <c r="J169" i="23" s="1"/>
  <c r="F172" i="23"/>
  <c r="I172" i="23" s="1"/>
  <c r="J172" i="23" s="1"/>
  <c r="F175" i="23"/>
  <c r="I175" i="23" s="1"/>
  <c r="J175" i="23" s="1"/>
  <c r="F193" i="23"/>
  <c r="I193" i="23" s="1"/>
  <c r="J193" i="23" s="1"/>
  <c r="F196" i="23"/>
  <c r="I196" i="23" s="1"/>
  <c r="J196" i="23" s="1"/>
  <c r="F209" i="23"/>
  <c r="I209" i="23" s="1"/>
  <c r="J209" i="23" s="1"/>
  <c r="F163" i="23"/>
  <c r="I163" i="23" s="1"/>
  <c r="J163" i="23" s="1"/>
  <c r="F164" i="23"/>
  <c r="I164" i="23" s="1"/>
  <c r="J164" i="23" s="1"/>
  <c r="F165" i="23"/>
  <c r="I165" i="23" s="1"/>
  <c r="J165" i="23" s="1"/>
  <c r="F167" i="23"/>
  <c r="I167" i="23" s="1"/>
  <c r="J167" i="23" s="1"/>
  <c r="F168" i="23"/>
  <c r="I168" i="23" s="1"/>
  <c r="J168" i="23" s="1"/>
  <c r="F171" i="23"/>
  <c r="I171" i="23" s="1"/>
  <c r="J171" i="23" s="1"/>
  <c r="F207" i="23"/>
  <c r="I207" i="23" s="1"/>
  <c r="J207" i="23" s="1"/>
  <c r="F208" i="23"/>
  <c r="I208" i="23" s="1"/>
  <c r="J208" i="23" s="1"/>
  <c r="F176" i="23"/>
  <c r="I176" i="23" s="1"/>
  <c r="J176" i="23" s="1"/>
  <c r="F173" i="23"/>
  <c r="I173" i="23" s="1"/>
  <c r="J173" i="23" s="1"/>
  <c r="F177" i="23"/>
  <c r="I177" i="23" s="1"/>
  <c r="J177" i="23" s="1"/>
  <c r="F180" i="23"/>
  <c r="I180" i="23" s="1"/>
  <c r="J180" i="23" s="1"/>
  <c r="F194" i="23"/>
  <c r="I194" i="23" s="1"/>
  <c r="J194" i="23" s="1"/>
  <c r="F179" i="23"/>
  <c r="I179" i="23" s="1"/>
  <c r="J179" i="23" s="1"/>
  <c r="F136" i="20" l="1"/>
  <c r="D143" i="20" s="1"/>
  <c r="F135" i="20"/>
  <c r="D142" i="20" s="1"/>
  <c r="F137" i="20"/>
  <c r="D144" i="20" s="1"/>
  <c r="F134" i="20"/>
  <c r="D141" i="20" s="1"/>
  <c r="F165" i="25"/>
  <c r="F169" i="25"/>
  <c r="F173" i="25"/>
  <c r="F177" i="25"/>
  <c r="F194" i="25"/>
  <c r="F209" i="25"/>
  <c r="F163" i="25"/>
  <c r="F166" i="25"/>
  <c r="F176" i="25"/>
  <c r="F179" i="25"/>
  <c r="F206" i="25"/>
  <c r="F164" i="25"/>
  <c r="F167" i="25"/>
  <c r="F168" i="25"/>
  <c r="F170" i="25"/>
  <c r="F171" i="25"/>
  <c r="F172" i="25"/>
  <c r="F174" i="25"/>
  <c r="F175" i="25"/>
  <c r="F178" i="25"/>
  <c r="F192" i="25"/>
  <c r="F193" i="25"/>
  <c r="F195" i="25"/>
  <c r="F207" i="25"/>
  <c r="F208" i="25"/>
  <c r="F162" i="25"/>
  <c r="I180" i="22"/>
  <c r="J180" i="22" s="1"/>
  <c r="I167" i="22"/>
  <c r="J167" i="22" s="1"/>
  <c r="I209" i="22"/>
  <c r="J209" i="22" s="1"/>
  <c r="I176" i="22"/>
  <c r="J176" i="22" s="1"/>
  <c r="I171" i="22"/>
  <c r="J171" i="22" s="1"/>
  <c r="I195" i="22"/>
  <c r="J195" i="22" s="1"/>
  <c r="I166" i="22"/>
  <c r="J166" i="22" s="1"/>
  <c r="L209" i="22"/>
  <c r="I180" i="24"/>
  <c r="J180" i="24" s="1"/>
  <c r="I207" i="24"/>
  <c r="J207" i="24" s="1"/>
  <c r="I172" i="24"/>
  <c r="J172" i="24" s="1"/>
  <c r="I167" i="24"/>
  <c r="J167" i="24" s="1"/>
  <c r="L167" i="24" s="1"/>
  <c r="I179" i="24"/>
  <c r="J179" i="24" s="1"/>
  <c r="I210" i="24"/>
  <c r="J210" i="24" s="1"/>
  <c r="I170" i="24"/>
  <c r="J170" i="24" s="1"/>
  <c r="H164" i="19"/>
  <c r="H168" i="19"/>
  <c r="H172" i="19"/>
  <c r="H176" i="19"/>
  <c r="H180" i="19"/>
  <c r="H193" i="19"/>
  <c r="H208" i="19"/>
  <c r="H166" i="19"/>
  <c r="H170" i="19"/>
  <c r="H174" i="19"/>
  <c r="H178" i="19"/>
  <c r="H195" i="19"/>
  <c r="H210" i="19"/>
  <c r="H165" i="19"/>
  <c r="H173" i="19"/>
  <c r="H194" i="19"/>
  <c r="H163" i="19"/>
  <c r="H171" i="19"/>
  <c r="H179" i="19"/>
  <c r="H169" i="19"/>
  <c r="H209" i="19"/>
  <c r="H177" i="19"/>
  <c r="H175" i="19"/>
  <c r="H196" i="19"/>
  <c r="H207" i="19"/>
  <c r="H167" i="19"/>
  <c r="K163" i="23"/>
  <c r="L163" i="23" s="1"/>
  <c r="L185" i="23" s="1"/>
  <c r="L214" i="23" s="1"/>
  <c r="K167" i="23"/>
  <c r="L167" i="23" s="1"/>
  <c r="K171" i="23"/>
  <c r="L171" i="23" s="1"/>
  <c r="K175" i="23"/>
  <c r="L175" i="23" s="1"/>
  <c r="K179" i="23"/>
  <c r="L179" i="23" s="1"/>
  <c r="K196" i="23"/>
  <c r="L196" i="23" s="1"/>
  <c r="K207" i="23"/>
  <c r="L207" i="23" s="1"/>
  <c r="L212" i="23" s="1"/>
  <c r="D145" i="23"/>
  <c r="K166" i="23"/>
  <c r="L166" i="23" s="1"/>
  <c r="K169" i="23"/>
  <c r="L169" i="23" s="1"/>
  <c r="K172" i="23"/>
  <c r="L172" i="23" s="1"/>
  <c r="K193" i="23"/>
  <c r="L193" i="23" s="1"/>
  <c r="L198" i="23" s="1"/>
  <c r="K209" i="23"/>
  <c r="L209" i="23" s="1"/>
  <c r="K173" i="23"/>
  <c r="L173" i="23" s="1"/>
  <c r="K176" i="23"/>
  <c r="L176" i="23" s="1"/>
  <c r="K178" i="23"/>
  <c r="L178" i="23" s="1"/>
  <c r="K170" i="23"/>
  <c r="L170" i="23" s="1"/>
  <c r="K174" i="23"/>
  <c r="L174" i="23" s="1"/>
  <c r="K177" i="23"/>
  <c r="L177" i="23" s="1"/>
  <c r="K195" i="23"/>
  <c r="L195" i="23" s="1"/>
  <c r="K164" i="23"/>
  <c r="L164" i="23" s="1"/>
  <c r="K168" i="23"/>
  <c r="L168" i="23" s="1"/>
  <c r="K165" i="23"/>
  <c r="L165" i="23" s="1"/>
  <c r="K180" i="23"/>
  <c r="L180" i="23" s="1"/>
  <c r="K194" i="23"/>
  <c r="L194" i="23" s="1"/>
  <c r="K210" i="23"/>
  <c r="L210" i="23" s="1"/>
  <c r="K208" i="23"/>
  <c r="L208" i="23" s="1"/>
  <c r="L179" i="24"/>
  <c r="H163" i="25"/>
  <c r="H167" i="25"/>
  <c r="H171" i="25"/>
  <c r="H175" i="25"/>
  <c r="H179" i="25"/>
  <c r="H192" i="25"/>
  <c r="H207" i="25"/>
  <c r="H162" i="25"/>
  <c r="H165" i="25"/>
  <c r="H168" i="25"/>
  <c r="H178" i="25"/>
  <c r="H208" i="25"/>
  <c r="H193" i="25"/>
  <c r="H166" i="25"/>
  <c r="H170" i="25"/>
  <c r="H172" i="25"/>
  <c r="H174" i="25"/>
  <c r="H176" i="25"/>
  <c r="H194" i="25"/>
  <c r="H206" i="25"/>
  <c r="H177" i="25"/>
  <c r="H164" i="25"/>
  <c r="H173" i="25"/>
  <c r="H209" i="25"/>
  <c r="H169" i="25"/>
  <c r="H195" i="25"/>
  <c r="I193" i="22"/>
  <c r="J193" i="22" s="1"/>
  <c r="I164" i="22"/>
  <c r="J164" i="22" s="1"/>
  <c r="I196" i="22"/>
  <c r="J196" i="22" s="1"/>
  <c r="I173" i="22"/>
  <c r="J173" i="22" s="1"/>
  <c r="I168" i="22"/>
  <c r="J168" i="22" s="1"/>
  <c r="I178" i="22"/>
  <c r="J178" i="22" s="1"/>
  <c r="H164" i="21"/>
  <c r="H168" i="21"/>
  <c r="H172" i="21"/>
  <c r="H176" i="21"/>
  <c r="H180" i="21"/>
  <c r="H193" i="21"/>
  <c r="H208" i="21"/>
  <c r="H171" i="21"/>
  <c r="H174" i="21"/>
  <c r="H177" i="21"/>
  <c r="H195" i="21"/>
  <c r="H165" i="21"/>
  <c r="H194" i="21"/>
  <c r="H207" i="21"/>
  <c r="H209" i="21"/>
  <c r="H210" i="21"/>
  <c r="H167" i="21"/>
  <c r="H170" i="21"/>
  <c r="H173" i="21"/>
  <c r="H178" i="21"/>
  <c r="H196" i="21"/>
  <c r="H163" i="21"/>
  <c r="H166" i="21"/>
  <c r="H175" i="21"/>
  <c r="H179" i="21"/>
  <c r="H169" i="21"/>
  <c r="L195" i="22"/>
  <c r="L166" i="22"/>
  <c r="L171" i="22"/>
  <c r="I177" i="24"/>
  <c r="J177" i="24" s="1"/>
  <c r="L177" i="24" s="1"/>
  <c r="I196" i="24"/>
  <c r="J196" i="24" s="1"/>
  <c r="L196" i="24" s="1"/>
  <c r="I171" i="24"/>
  <c r="J171" i="24" s="1"/>
  <c r="I165" i="24"/>
  <c r="J165" i="24" s="1"/>
  <c r="I176" i="24"/>
  <c r="J176" i="24" s="1"/>
  <c r="L176" i="24" s="1"/>
  <c r="I195" i="24"/>
  <c r="J195" i="24" s="1"/>
  <c r="I166" i="24"/>
  <c r="J166" i="24" s="1"/>
  <c r="L166" i="24" s="1"/>
  <c r="K162" i="25"/>
  <c r="K166" i="25"/>
  <c r="K170" i="25"/>
  <c r="K174" i="25"/>
  <c r="K178" i="25"/>
  <c r="K195" i="25"/>
  <c r="K206" i="25"/>
  <c r="K163" i="25"/>
  <c r="K173" i="25"/>
  <c r="K176" i="25"/>
  <c r="K179" i="25"/>
  <c r="K194" i="25"/>
  <c r="K164" i="25"/>
  <c r="K165" i="25"/>
  <c r="K167" i="25"/>
  <c r="K168" i="25"/>
  <c r="K169" i="25"/>
  <c r="K171" i="25"/>
  <c r="K172" i="25"/>
  <c r="K175" i="25"/>
  <c r="K192" i="25"/>
  <c r="K193" i="25"/>
  <c r="K207" i="25"/>
  <c r="K208" i="25"/>
  <c r="K209" i="25"/>
  <c r="D144" i="25"/>
  <c r="K177" i="25"/>
  <c r="L172" i="24"/>
  <c r="L180" i="24"/>
  <c r="L210" i="24"/>
  <c r="L170" i="24"/>
  <c r="I172" i="22"/>
  <c r="J172" i="22" s="1"/>
  <c r="I175" i="22"/>
  <c r="J175" i="22" s="1"/>
  <c r="L175" i="22" s="1"/>
  <c r="I194" i="22"/>
  <c r="J194" i="22" s="1"/>
  <c r="L194" i="22" s="1"/>
  <c r="I163" i="22"/>
  <c r="J163" i="22" s="1"/>
  <c r="I165" i="22"/>
  <c r="J165" i="22" s="1"/>
  <c r="L165" i="22" s="1"/>
  <c r="I174" i="22"/>
  <c r="J174" i="22" s="1"/>
  <c r="L174" i="22" s="1"/>
  <c r="F166" i="21"/>
  <c r="F170" i="21"/>
  <c r="F174" i="21"/>
  <c r="F178" i="21"/>
  <c r="F195" i="21"/>
  <c r="F210" i="21"/>
  <c r="F169" i="21"/>
  <c r="F172" i="21"/>
  <c r="F175" i="21"/>
  <c r="F193" i="21"/>
  <c r="F196" i="21"/>
  <c r="F209" i="21"/>
  <c r="F173" i="21"/>
  <c r="F163" i="21"/>
  <c r="F165" i="21"/>
  <c r="F168" i="21"/>
  <c r="F171" i="21"/>
  <c r="F176" i="21"/>
  <c r="F177" i="21"/>
  <c r="F179" i="21"/>
  <c r="F180" i="21"/>
  <c r="F194" i="21"/>
  <c r="F208" i="21"/>
  <c r="F207" i="21"/>
  <c r="F164" i="21"/>
  <c r="F167" i="21"/>
  <c r="L164" i="22"/>
  <c r="L180" i="22"/>
  <c r="L193" i="22"/>
  <c r="L198" i="22" s="1"/>
  <c r="L176" i="22"/>
  <c r="L178" i="22"/>
  <c r="L196" i="22"/>
  <c r="L167" i="22"/>
  <c r="I209" i="24"/>
  <c r="J209" i="24" s="1"/>
  <c r="L209" i="24" s="1"/>
  <c r="I193" i="24"/>
  <c r="J193" i="24" s="1"/>
  <c r="L193" i="24" s="1"/>
  <c r="L198" i="24" s="1"/>
  <c r="I169" i="24"/>
  <c r="J169" i="24" s="1"/>
  <c r="L169" i="24" s="1"/>
  <c r="I164" i="24"/>
  <c r="J164" i="24" s="1"/>
  <c r="L164" i="24" s="1"/>
  <c r="I173" i="24"/>
  <c r="J173" i="24" s="1"/>
  <c r="L173" i="24" s="1"/>
  <c r="I178" i="24"/>
  <c r="J178" i="24" s="1"/>
  <c r="G163" i="19"/>
  <c r="G167" i="19"/>
  <c r="G171" i="19"/>
  <c r="G175" i="19"/>
  <c r="G179" i="19"/>
  <c r="G196" i="19"/>
  <c r="G207" i="19"/>
  <c r="G165" i="19"/>
  <c r="G169" i="19"/>
  <c r="G173" i="19"/>
  <c r="G177" i="19"/>
  <c r="G194" i="19"/>
  <c r="G209" i="19"/>
  <c r="G164" i="19"/>
  <c r="G172" i="19"/>
  <c r="G180" i="19"/>
  <c r="G193" i="19"/>
  <c r="G170" i="19"/>
  <c r="G178" i="19"/>
  <c r="G210" i="19"/>
  <c r="G176" i="19"/>
  <c r="G168" i="19"/>
  <c r="G208" i="19"/>
  <c r="G166" i="19"/>
  <c r="G174" i="19"/>
  <c r="G195" i="19"/>
  <c r="K163" i="21"/>
  <c r="K167" i="21"/>
  <c r="K171" i="21"/>
  <c r="K175" i="21"/>
  <c r="K179" i="21"/>
  <c r="K196" i="21"/>
  <c r="K207" i="21"/>
  <c r="D145" i="21"/>
  <c r="K166" i="21"/>
  <c r="K169" i="21"/>
  <c r="K172" i="21"/>
  <c r="K193" i="21"/>
  <c r="K209" i="21"/>
  <c r="K170" i="21"/>
  <c r="K173" i="21"/>
  <c r="K165" i="21"/>
  <c r="K168" i="21"/>
  <c r="K208" i="21"/>
  <c r="K164" i="21"/>
  <c r="K174" i="21"/>
  <c r="K176" i="21"/>
  <c r="K178" i="21"/>
  <c r="K180" i="21"/>
  <c r="K194" i="21"/>
  <c r="K210" i="21"/>
  <c r="K195" i="21"/>
  <c r="K177" i="21"/>
  <c r="K163" i="20"/>
  <c r="K167" i="20"/>
  <c r="K171" i="20"/>
  <c r="K175" i="20"/>
  <c r="K179" i="20"/>
  <c r="K196" i="20"/>
  <c r="K207" i="20"/>
  <c r="K165" i="20"/>
  <c r="K168" i="20"/>
  <c r="K178" i="20"/>
  <c r="K208" i="20"/>
  <c r="D145" i="20"/>
  <c r="K166" i="20"/>
  <c r="K169" i="20"/>
  <c r="K172" i="20"/>
  <c r="K193" i="20"/>
  <c r="K209" i="20"/>
  <c r="K170" i="20"/>
  <c r="K173" i="20"/>
  <c r="K176" i="20"/>
  <c r="K194" i="20"/>
  <c r="K210" i="20"/>
  <c r="K174" i="20"/>
  <c r="K177" i="20"/>
  <c r="K180" i="20"/>
  <c r="K195" i="20"/>
  <c r="K164" i="20"/>
  <c r="L165" i="24"/>
  <c r="L195" i="24"/>
  <c r="L178" i="24"/>
  <c r="L207" i="24"/>
  <c r="L212" i="24" s="1"/>
  <c r="L171" i="24"/>
  <c r="G162" i="25"/>
  <c r="G166" i="25"/>
  <c r="G170" i="25"/>
  <c r="G174" i="25"/>
  <c r="G178" i="25"/>
  <c r="G195" i="25"/>
  <c r="G206" i="25"/>
  <c r="G169" i="25"/>
  <c r="G172" i="25"/>
  <c r="G175" i="25"/>
  <c r="G193" i="25"/>
  <c r="G209" i="25"/>
  <c r="G173" i="25"/>
  <c r="G176" i="25"/>
  <c r="G177" i="25"/>
  <c r="G179" i="25"/>
  <c r="G194" i="25"/>
  <c r="G164" i="25"/>
  <c r="G168" i="25"/>
  <c r="G192" i="25"/>
  <c r="G208" i="25"/>
  <c r="G165" i="25"/>
  <c r="G171" i="25"/>
  <c r="G207" i="25"/>
  <c r="G163" i="25"/>
  <c r="G167" i="25"/>
  <c r="I177" i="22"/>
  <c r="J177" i="22" s="1"/>
  <c r="I207" i="22"/>
  <c r="J207" i="22" s="1"/>
  <c r="L207" i="22" s="1"/>
  <c r="L212" i="22" s="1"/>
  <c r="I169" i="22"/>
  <c r="J169" i="22" s="1"/>
  <c r="L169" i="22" s="1"/>
  <c r="I179" i="22"/>
  <c r="J179" i="22" s="1"/>
  <c r="I208" i="22"/>
  <c r="J208" i="22" s="1"/>
  <c r="L208" i="22" s="1"/>
  <c r="I210" i="22"/>
  <c r="J210" i="22" s="1"/>
  <c r="I170" i="22"/>
  <c r="J170" i="22" s="1"/>
  <c r="L170" i="22" s="1"/>
  <c r="G163" i="21"/>
  <c r="G167" i="21"/>
  <c r="G171" i="21"/>
  <c r="G175" i="21"/>
  <c r="G179" i="21"/>
  <c r="G196" i="21"/>
  <c r="G207" i="21"/>
  <c r="G165" i="21"/>
  <c r="G168" i="21"/>
  <c r="G178" i="21"/>
  <c r="G208" i="21"/>
  <c r="G166" i="21"/>
  <c r="G169" i="21"/>
  <c r="G172" i="21"/>
  <c r="G174" i="21"/>
  <c r="G164" i="21"/>
  <c r="G176" i="21"/>
  <c r="G180" i="21"/>
  <c r="G194" i="21"/>
  <c r="G210" i="21"/>
  <c r="G193" i="21"/>
  <c r="G195" i="21"/>
  <c r="G209" i="21"/>
  <c r="G177" i="21"/>
  <c r="G170" i="21"/>
  <c r="G173" i="21"/>
  <c r="L210" i="22"/>
  <c r="L177" i="22"/>
  <c r="L172" i="22"/>
  <c r="L173" i="22"/>
  <c r="L168" i="22"/>
  <c r="L179" i="22"/>
  <c r="L163" i="22"/>
  <c r="L185" i="22" s="1"/>
  <c r="I208" i="24"/>
  <c r="J208" i="24" s="1"/>
  <c r="L208" i="24" s="1"/>
  <c r="I175" i="24"/>
  <c r="J175" i="24" s="1"/>
  <c r="L175" i="24" s="1"/>
  <c r="I168" i="24"/>
  <c r="J168" i="24" s="1"/>
  <c r="L168" i="24" s="1"/>
  <c r="I194" i="24"/>
  <c r="J194" i="24" s="1"/>
  <c r="L194" i="24" s="1"/>
  <c r="I163" i="24"/>
  <c r="J163" i="24" s="1"/>
  <c r="L163" i="24" s="1"/>
  <c r="L185" i="24" s="1"/>
  <c r="L214" i="24" s="1"/>
  <c r="I174" i="24"/>
  <c r="J174" i="24" s="1"/>
  <c r="L174" i="24" s="1"/>
  <c r="F166" i="19"/>
  <c r="I166" i="19" s="1"/>
  <c r="J166" i="19" s="1"/>
  <c r="L166" i="19" s="1"/>
  <c r="F170" i="19"/>
  <c r="I170" i="19" s="1"/>
  <c r="J170" i="19" s="1"/>
  <c r="L170" i="19" s="1"/>
  <c r="F174" i="19"/>
  <c r="I174" i="19" s="1"/>
  <c r="J174" i="19" s="1"/>
  <c r="L174" i="19" s="1"/>
  <c r="F178" i="19"/>
  <c r="I178" i="19" s="1"/>
  <c r="J178" i="19" s="1"/>
  <c r="L178" i="19" s="1"/>
  <c r="F195" i="19"/>
  <c r="I195" i="19" s="1"/>
  <c r="J195" i="19" s="1"/>
  <c r="L195" i="19" s="1"/>
  <c r="F210" i="19"/>
  <c r="I210" i="19" s="1"/>
  <c r="J210" i="19" s="1"/>
  <c r="L210" i="19" s="1"/>
  <c r="F164" i="19"/>
  <c r="I164" i="19" s="1"/>
  <c r="J164" i="19" s="1"/>
  <c r="L164" i="19" s="1"/>
  <c r="F168" i="19"/>
  <c r="I168" i="19" s="1"/>
  <c r="J168" i="19" s="1"/>
  <c r="L168" i="19" s="1"/>
  <c r="F172" i="19"/>
  <c r="I172" i="19" s="1"/>
  <c r="J172" i="19" s="1"/>
  <c r="L172" i="19" s="1"/>
  <c r="F176" i="19"/>
  <c r="I176" i="19" s="1"/>
  <c r="J176" i="19" s="1"/>
  <c r="L176" i="19" s="1"/>
  <c r="F180" i="19"/>
  <c r="I180" i="19" s="1"/>
  <c r="J180" i="19" s="1"/>
  <c r="L180" i="19" s="1"/>
  <c r="F193" i="19"/>
  <c r="I193" i="19" s="1"/>
  <c r="J193" i="19" s="1"/>
  <c r="L193" i="19" s="1"/>
  <c r="L198" i="19" s="1"/>
  <c r="F208" i="19"/>
  <c r="I208" i="19" s="1"/>
  <c r="J208" i="19" s="1"/>
  <c r="L208" i="19" s="1"/>
  <c r="F163" i="19"/>
  <c r="I163" i="19" s="1"/>
  <c r="J163" i="19" s="1"/>
  <c r="L163" i="19" s="1"/>
  <c r="L185" i="19" s="1"/>
  <c r="L214" i="19" s="1"/>
  <c r="F171" i="19"/>
  <c r="I171" i="19" s="1"/>
  <c r="J171" i="19" s="1"/>
  <c r="L171" i="19" s="1"/>
  <c r="F179" i="19"/>
  <c r="I179" i="19" s="1"/>
  <c r="J179" i="19" s="1"/>
  <c r="L179" i="19" s="1"/>
  <c r="F169" i="19"/>
  <c r="I169" i="19" s="1"/>
  <c r="J169" i="19" s="1"/>
  <c r="L169" i="19" s="1"/>
  <c r="F177" i="19"/>
  <c r="I177" i="19" s="1"/>
  <c r="J177" i="19" s="1"/>
  <c r="L177" i="19" s="1"/>
  <c r="F209" i="19"/>
  <c r="I209" i="19" s="1"/>
  <c r="J209" i="19" s="1"/>
  <c r="L209" i="19" s="1"/>
  <c r="F167" i="19"/>
  <c r="I167" i="19" s="1"/>
  <c r="J167" i="19" s="1"/>
  <c r="L167" i="19" s="1"/>
  <c r="F207" i="19"/>
  <c r="I207" i="19" s="1"/>
  <c r="J207" i="19" s="1"/>
  <c r="L207" i="19" s="1"/>
  <c r="L212" i="19" s="1"/>
  <c r="F175" i="19"/>
  <c r="I175" i="19" s="1"/>
  <c r="J175" i="19" s="1"/>
  <c r="L175" i="19" s="1"/>
  <c r="F196" i="19"/>
  <c r="I196" i="19" s="1"/>
  <c r="J196" i="19" s="1"/>
  <c r="L196" i="19" s="1"/>
  <c r="F173" i="19"/>
  <c r="I173" i="19" s="1"/>
  <c r="J173" i="19" s="1"/>
  <c r="L173" i="19" s="1"/>
  <c r="F194" i="19"/>
  <c r="I194" i="19" s="1"/>
  <c r="J194" i="19" s="1"/>
  <c r="L194" i="19" s="1"/>
  <c r="F165" i="19"/>
  <c r="I165" i="19" s="1"/>
  <c r="J165" i="19" s="1"/>
  <c r="L165" i="19" s="1"/>
  <c r="L218" i="24" l="1"/>
  <c r="D4" i="24" s="1"/>
  <c r="F7" i="24"/>
  <c r="F7" i="19"/>
  <c r="L218" i="19"/>
  <c r="D4" i="19" s="1"/>
  <c r="L214" i="22"/>
  <c r="I164" i="21"/>
  <c r="J164" i="21" s="1"/>
  <c r="I180" i="21"/>
  <c r="J180" i="21" s="1"/>
  <c r="I171" i="21"/>
  <c r="J171" i="21" s="1"/>
  <c r="I173" i="21"/>
  <c r="J173" i="21" s="1"/>
  <c r="I175" i="21"/>
  <c r="J175" i="21" s="1"/>
  <c r="L175" i="21" s="1"/>
  <c r="I195" i="21"/>
  <c r="J195" i="21" s="1"/>
  <c r="I166" i="21"/>
  <c r="J166" i="21" s="1"/>
  <c r="I162" i="25"/>
  <c r="J162" i="25" s="1"/>
  <c r="I193" i="25"/>
  <c r="J193" i="25" s="1"/>
  <c r="I174" i="25"/>
  <c r="J174" i="25" s="1"/>
  <c r="I168" i="25"/>
  <c r="J168" i="25" s="1"/>
  <c r="I179" i="25"/>
  <c r="J179" i="25" s="1"/>
  <c r="L179" i="25" s="1"/>
  <c r="I209" i="25"/>
  <c r="J209" i="25" s="1"/>
  <c r="I169" i="25"/>
  <c r="J169" i="25" s="1"/>
  <c r="H164" i="20"/>
  <c r="H168" i="20"/>
  <c r="H172" i="20"/>
  <c r="H176" i="20"/>
  <c r="H180" i="20"/>
  <c r="H193" i="20"/>
  <c r="H208" i="20"/>
  <c r="H167" i="20"/>
  <c r="H170" i="20"/>
  <c r="H173" i="20"/>
  <c r="H194" i="20"/>
  <c r="H207" i="20"/>
  <c r="H210" i="20"/>
  <c r="H171" i="20"/>
  <c r="H174" i="20"/>
  <c r="H177" i="20"/>
  <c r="H195" i="20"/>
  <c r="H165" i="20"/>
  <c r="H175" i="20"/>
  <c r="H178" i="20"/>
  <c r="H196" i="20"/>
  <c r="H163" i="20"/>
  <c r="H166" i="20"/>
  <c r="H169" i="20"/>
  <c r="H209" i="20"/>
  <c r="H179" i="20"/>
  <c r="L180" i="21"/>
  <c r="L164" i="21"/>
  <c r="L173" i="21"/>
  <c r="L171" i="21"/>
  <c r="I207" i="21"/>
  <c r="J207" i="21" s="1"/>
  <c r="L207" i="21" s="1"/>
  <c r="L212" i="21" s="1"/>
  <c r="I179" i="21"/>
  <c r="J179" i="21" s="1"/>
  <c r="I168" i="21"/>
  <c r="J168" i="21" s="1"/>
  <c r="I209" i="21"/>
  <c r="J209" i="21" s="1"/>
  <c r="I172" i="21"/>
  <c r="J172" i="21" s="1"/>
  <c r="L172" i="21" s="1"/>
  <c r="I178" i="21"/>
  <c r="J178" i="21" s="1"/>
  <c r="L193" i="25"/>
  <c r="L218" i="23"/>
  <c r="D4" i="23" s="1"/>
  <c r="F7" i="23"/>
  <c r="I208" i="25"/>
  <c r="J208" i="25" s="1"/>
  <c r="I192" i="25"/>
  <c r="J192" i="25" s="1"/>
  <c r="I172" i="25"/>
  <c r="J172" i="25" s="1"/>
  <c r="L172" i="25" s="1"/>
  <c r="I167" i="25"/>
  <c r="J167" i="25" s="1"/>
  <c r="L167" i="25" s="1"/>
  <c r="I176" i="25"/>
  <c r="J176" i="25" s="1"/>
  <c r="L176" i="25" s="1"/>
  <c r="I194" i="25"/>
  <c r="J194" i="25" s="1"/>
  <c r="I165" i="25"/>
  <c r="J165" i="25" s="1"/>
  <c r="L165" i="25" s="1"/>
  <c r="G163" i="20"/>
  <c r="G167" i="20"/>
  <c r="G171" i="20"/>
  <c r="G175" i="20"/>
  <c r="G179" i="20"/>
  <c r="G196" i="20"/>
  <c r="G207" i="20"/>
  <c r="G164" i="20"/>
  <c r="G174" i="20"/>
  <c r="G177" i="20"/>
  <c r="G180" i="20"/>
  <c r="G195" i="20"/>
  <c r="G165" i="20"/>
  <c r="G168" i="20"/>
  <c r="G178" i="20"/>
  <c r="G208" i="20"/>
  <c r="G166" i="20"/>
  <c r="G169" i="20"/>
  <c r="G172" i="20"/>
  <c r="G193" i="20"/>
  <c r="G209" i="20"/>
  <c r="G173" i="20"/>
  <c r="G210" i="20"/>
  <c r="G170" i="20"/>
  <c r="G176" i="20"/>
  <c r="G194" i="20"/>
  <c r="L195" i="21"/>
  <c r="L178" i="21"/>
  <c r="I208" i="21"/>
  <c r="J208" i="21" s="1"/>
  <c r="L208" i="21" s="1"/>
  <c r="I177" i="21"/>
  <c r="J177" i="21" s="1"/>
  <c r="L177" i="21" s="1"/>
  <c r="I165" i="21"/>
  <c r="J165" i="21" s="1"/>
  <c r="L165" i="21" s="1"/>
  <c r="I196" i="21"/>
  <c r="J196" i="21" s="1"/>
  <c r="L196" i="21" s="1"/>
  <c r="I169" i="21"/>
  <c r="J169" i="21" s="1"/>
  <c r="L169" i="21" s="1"/>
  <c r="I174" i="21"/>
  <c r="J174" i="21" s="1"/>
  <c r="L174" i="21" s="1"/>
  <c r="L209" i="25"/>
  <c r="L192" i="25"/>
  <c r="L197" i="25" s="1"/>
  <c r="L169" i="25"/>
  <c r="L178" i="25"/>
  <c r="L162" i="25"/>
  <c r="L184" i="25" s="1"/>
  <c r="I207" i="25"/>
  <c r="J207" i="25" s="1"/>
  <c r="L207" i="25" s="1"/>
  <c r="I178" i="25"/>
  <c r="J178" i="25" s="1"/>
  <c r="I171" i="25"/>
  <c r="J171" i="25" s="1"/>
  <c r="L171" i="25" s="1"/>
  <c r="I164" i="25"/>
  <c r="J164" i="25" s="1"/>
  <c r="L164" i="25" s="1"/>
  <c r="I166" i="25"/>
  <c r="J166" i="25" s="1"/>
  <c r="L166" i="25" s="1"/>
  <c r="I177" i="25"/>
  <c r="J177" i="25" s="1"/>
  <c r="L177" i="25" s="1"/>
  <c r="F166" i="20"/>
  <c r="I166" i="20" s="1"/>
  <c r="J166" i="20" s="1"/>
  <c r="L166" i="20" s="1"/>
  <c r="F170" i="20"/>
  <c r="I170" i="20" s="1"/>
  <c r="J170" i="20" s="1"/>
  <c r="F174" i="20"/>
  <c r="I174" i="20" s="1"/>
  <c r="J174" i="20" s="1"/>
  <c r="L174" i="20" s="1"/>
  <c r="F178" i="20"/>
  <c r="I178" i="20" s="1"/>
  <c r="J178" i="20" s="1"/>
  <c r="F195" i="20"/>
  <c r="I195" i="20" s="1"/>
  <c r="J195" i="20" s="1"/>
  <c r="F210" i="20"/>
  <c r="I210" i="20" s="1"/>
  <c r="J210" i="20" s="1"/>
  <c r="F165" i="20"/>
  <c r="I165" i="20" s="1"/>
  <c r="J165" i="20" s="1"/>
  <c r="L165" i="20" s="1"/>
  <c r="F168" i="20"/>
  <c r="I168" i="20" s="1"/>
  <c r="J168" i="20" s="1"/>
  <c r="L168" i="20" s="1"/>
  <c r="F171" i="20"/>
  <c r="I171" i="20" s="1"/>
  <c r="J171" i="20" s="1"/>
  <c r="L171" i="20" s="1"/>
  <c r="F208" i="20"/>
  <c r="I208" i="20" s="1"/>
  <c r="J208" i="20" s="1"/>
  <c r="L208" i="20" s="1"/>
  <c r="F169" i="20"/>
  <c r="I169" i="20" s="1"/>
  <c r="J169" i="20" s="1"/>
  <c r="F172" i="20"/>
  <c r="I172" i="20" s="1"/>
  <c r="J172" i="20" s="1"/>
  <c r="L172" i="20" s="1"/>
  <c r="F175" i="20"/>
  <c r="I175" i="20" s="1"/>
  <c r="J175" i="20" s="1"/>
  <c r="L175" i="20" s="1"/>
  <c r="F193" i="20"/>
  <c r="I193" i="20" s="1"/>
  <c r="J193" i="20" s="1"/>
  <c r="L193" i="20" s="1"/>
  <c r="L198" i="20" s="1"/>
  <c r="F196" i="20"/>
  <c r="I196" i="20" s="1"/>
  <c r="J196" i="20" s="1"/>
  <c r="F209" i="20"/>
  <c r="I209" i="20" s="1"/>
  <c r="J209" i="20" s="1"/>
  <c r="L209" i="20" s="1"/>
  <c r="F173" i="20"/>
  <c r="I173" i="20" s="1"/>
  <c r="J173" i="20" s="1"/>
  <c r="L173" i="20" s="1"/>
  <c r="F176" i="20"/>
  <c r="I176" i="20" s="1"/>
  <c r="J176" i="20" s="1"/>
  <c r="L176" i="20" s="1"/>
  <c r="F179" i="20"/>
  <c r="I179" i="20" s="1"/>
  <c r="J179" i="20" s="1"/>
  <c r="L179" i="20" s="1"/>
  <c r="F194" i="20"/>
  <c r="I194" i="20" s="1"/>
  <c r="J194" i="20" s="1"/>
  <c r="L194" i="20" s="1"/>
  <c r="F163" i="20"/>
  <c r="I163" i="20" s="1"/>
  <c r="J163" i="20" s="1"/>
  <c r="L163" i="20" s="1"/>
  <c r="L185" i="20" s="1"/>
  <c r="L214" i="20" s="1"/>
  <c r="F164" i="20"/>
  <c r="I164" i="20" s="1"/>
  <c r="J164" i="20" s="1"/>
  <c r="L164" i="20" s="1"/>
  <c r="F167" i="20"/>
  <c r="I167" i="20" s="1"/>
  <c r="J167" i="20" s="1"/>
  <c r="F207" i="20"/>
  <c r="I207" i="20" s="1"/>
  <c r="J207" i="20" s="1"/>
  <c r="L207" i="20" s="1"/>
  <c r="L212" i="20" s="1"/>
  <c r="F177" i="20"/>
  <c r="I177" i="20" s="1"/>
  <c r="J177" i="20" s="1"/>
  <c r="L177" i="20" s="1"/>
  <c r="F180" i="20"/>
  <c r="I180" i="20" s="1"/>
  <c r="J180" i="20" s="1"/>
  <c r="L180" i="20" s="1"/>
  <c r="L195" i="20"/>
  <c r="L210" i="20"/>
  <c r="L170" i="20"/>
  <c r="L169" i="20"/>
  <c r="L178" i="20"/>
  <c r="L196" i="20"/>
  <c r="L167" i="20"/>
  <c r="L168" i="21"/>
  <c r="L209" i="21"/>
  <c r="L166" i="21"/>
  <c r="L179" i="21"/>
  <c r="I167" i="21"/>
  <c r="J167" i="21" s="1"/>
  <c r="L167" i="21" s="1"/>
  <c r="I194" i="21"/>
  <c r="J194" i="21" s="1"/>
  <c r="L194" i="21" s="1"/>
  <c r="I176" i="21"/>
  <c r="J176" i="21" s="1"/>
  <c r="L176" i="21" s="1"/>
  <c r="I163" i="21"/>
  <c r="J163" i="21" s="1"/>
  <c r="L163" i="21" s="1"/>
  <c r="L185" i="21" s="1"/>
  <c r="I193" i="21"/>
  <c r="J193" i="21" s="1"/>
  <c r="L193" i="21" s="1"/>
  <c r="L198" i="21" s="1"/>
  <c r="I210" i="21"/>
  <c r="J210" i="21" s="1"/>
  <c r="L210" i="21" s="1"/>
  <c r="I170" i="21"/>
  <c r="J170" i="21" s="1"/>
  <c r="L170" i="21" s="1"/>
  <c r="L208" i="25"/>
  <c r="L175" i="25"/>
  <c r="L168" i="25"/>
  <c r="L194" i="25"/>
  <c r="L174" i="25"/>
  <c r="I195" i="25"/>
  <c r="J195" i="25" s="1"/>
  <c r="L195" i="25" s="1"/>
  <c r="I175" i="25"/>
  <c r="J175" i="25" s="1"/>
  <c r="I170" i="25"/>
  <c r="J170" i="25" s="1"/>
  <c r="L170" i="25" s="1"/>
  <c r="I206" i="25"/>
  <c r="J206" i="25" s="1"/>
  <c r="L206" i="25" s="1"/>
  <c r="L211" i="25" s="1"/>
  <c r="I163" i="25"/>
  <c r="J163" i="25" s="1"/>
  <c r="L163" i="25" s="1"/>
  <c r="I173" i="25"/>
  <c r="J173" i="25" s="1"/>
  <c r="L173" i="25" s="1"/>
  <c r="L214" i="21" l="1"/>
  <c r="F7" i="20"/>
  <c r="L218" i="20"/>
  <c r="D4" i="20" s="1"/>
  <c r="L213" i="25"/>
  <c r="L218" i="22"/>
  <c r="D4" i="22" s="1"/>
  <c r="F7" i="22"/>
  <c r="L217" i="25" l="1"/>
  <c r="D4" i="25" s="1"/>
  <c r="F7" i="25"/>
  <c r="L218" i="21"/>
  <c r="D4" i="21" s="1"/>
  <c r="F7" i="21"/>
</calcChain>
</file>

<file path=xl/comments1.xml><?xml version="1.0" encoding="utf-8"?>
<comments xmlns="http://schemas.openxmlformats.org/spreadsheetml/2006/main">
  <authors>
    <author>Rick Odlum</author>
  </authors>
  <commentList>
    <comment ref="D25" authorId="0" shapeId="0">
      <text>
        <r>
          <rPr>
            <b/>
            <sz val="9"/>
            <color indexed="81"/>
            <rFont val="Tahoma"/>
            <family val="2"/>
          </rPr>
          <t>Rick Odlum:</t>
        </r>
        <r>
          <rPr>
            <sz val="9"/>
            <color indexed="81"/>
            <rFont val="Tahoma"/>
            <family val="2"/>
          </rPr>
          <t xml:space="preserve">
GLGT Rate increase to 11.442/Dth/M</t>
        </r>
      </text>
    </comment>
    <comment ref="D28" authorId="0" shapeId="0">
      <text>
        <r>
          <rPr>
            <b/>
            <sz val="9"/>
            <color indexed="81"/>
            <rFont val="Tahoma"/>
            <family val="2"/>
          </rPr>
          <t>Rick Odlum:</t>
        </r>
        <r>
          <rPr>
            <sz val="9"/>
            <color indexed="81"/>
            <rFont val="Tahoma"/>
            <family val="2"/>
          </rPr>
          <t xml:space="preserve">
GLGT Rate increase to 11.442/Dth/M</t>
        </r>
      </text>
    </comment>
    <comment ref="D38" authorId="0" shapeId="0">
      <text>
        <r>
          <rPr>
            <b/>
            <sz val="9"/>
            <color indexed="81"/>
            <rFont val="Tahoma"/>
            <family val="2"/>
          </rPr>
          <t>Rick Odlum:</t>
        </r>
        <r>
          <rPr>
            <sz val="9"/>
            <color indexed="81"/>
            <rFont val="Tahoma"/>
            <family val="2"/>
          </rPr>
          <t xml:space="preserve">
GLGT Rate increase to 8.338/Dth/M</t>
        </r>
      </text>
    </comment>
    <comment ref="D67" authorId="0" shapeId="0">
      <text>
        <r>
          <rPr>
            <b/>
            <sz val="9"/>
            <color indexed="81"/>
            <rFont val="Tahoma"/>
            <family val="2"/>
          </rPr>
          <t>Rick Odlum:</t>
        </r>
        <r>
          <rPr>
            <sz val="9"/>
            <color indexed="81"/>
            <rFont val="Tahoma"/>
            <family val="2"/>
          </rPr>
          <t xml:space="preserve">
Rates effective Jan 1, 2015</t>
        </r>
      </text>
    </comment>
  </commentList>
</comments>
</file>

<file path=xl/comments2.xml><?xml version="1.0" encoding="utf-8"?>
<comments xmlns="http://schemas.openxmlformats.org/spreadsheetml/2006/main">
  <authors>
    <author>Rick Odlum</author>
    <author>TransCanada</author>
  </authors>
  <commentList>
    <comment ref="D25" authorId="0" shapeId="0">
      <text>
        <r>
          <rPr>
            <b/>
            <sz val="9"/>
            <color indexed="81"/>
            <rFont val="Tahoma"/>
            <family val="2"/>
          </rPr>
          <t>Rick Odlum:</t>
        </r>
        <r>
          <rPr>
            <sz val="9"/>
            <color indexed="81"/>
            <rFont val="Tahoma"/>
            <family val="2"/>
          </rPr>
          <t xml:space="preserve">
GLGT Rate increase to 11.442/Dth/M</t>
        </r>
      </text>
    </comment>
    <comment ref="D26" authorId="0" shapeId="0">
      <text>
        <r>
          <rPr>
            <b/>
            <sz val="9"/>
            <color indexed="81"/>
            <rFont val="Tahoma"/>
            <family val="2"/>
          </rPr>
          <t>Rick Odlum:</t>
        </r>
        <r>
          <rPr>
            <sz val="9"/>
            <color indexed="81"/>
            <rFont val="Tahoma"/>
            <family val="2"/>
          </rPr>
          <t xml:space="preserve">
GLGT Rate increase to 11.442/Dth/M</t>
        </r>
      </text>
    </comment>
    <comment ref="D27" authorId="0" shapeId="0">
      <text>
        <r>
          <rPr>
            <b/>
            <sz val="9"/>
            <color indexed="81"/>
            <rFont val="Tahoma"/>
            <family val="2"/>
          </rPr>
          <t>Rick Odlum:</t>
        </r>
        <r>
          <rPr>
            <sz val="9"/>
            <color indexed="81"/>
            <rFont val="Tahoma"/>
            <family val="2"/>
          </rPr>
          <t xml:space="preserve">
GLGT Rate increase to 11.442/Dth/M</t>
        </r>
      </text>
    </comment>
    <comment ref="D28" authorId="0" shapeId="0">
      <text>
        <r>
          <rPr>
            <b/>
            <sz val="9"/>
            <color indexed="81"/>
            <rFont val="Tahoma"/>
            <family val="2"/>
          </rPr>
          <t>Rick Odlum:</t>
        </r>
        <r>
          <rPr>
            <sz val="9"/>
            <color indexed="81"/>
            <rFont val="Tahoma"/>
            <family val="2"/>
          </rPr>
          <t xml:space="preserve">
GLGT Rate increase to 11.442/Dth/M</t>
        </r>
      </text>
    </comment>
    <comment ref="D36" authorId="0" shapeId="0">
      <text>
        <r>
          <rPr>
            <b/>
            <sz val="9"/>
            <color indexed="81"/>
            <rFont val="Tahoma"/>
            <family val="2"/>
          </rPr>
          <t>Rick Odlum:</t>
        </r>
        <r>
          <rPr>
            <sz val="9"/>
            <color indexed="81"/>
            <rFont val="Tahoma"/>
            <family val="2"/>
          </rPr>
          <t xml:space="preserve">
GLGT Rate increase to 8.338/Dth/M</t>
        </r>
      </text>
    </comment>
    <comment ref="D37" authorId="0" shapeId="0">
      <text>
        <r>
          <rPr>
            <b/>
            <sz val="9"/>
            <color indexed="81"/>
            <rFont val="Tahoma"/>
            <family val="2"/>
          </rPr>
          <t>Rick Odlum:</t>
        </r>
        <r>
          <rPr>
            <sz val="9"/>
            <color indexed="81"/>
            <rFont val="Tahoma"/>
            <family val="2"/>
          </rPr>
          <t xml:space="preserve">
GLGT Rate increase to 8.338/Dth/M</t>
        </r>
      </text>
    </comment>
    <comment ref="D38" authorId="0" shapeId="0">
      <text>
        <r>
          <rPr>
            <b/>
            <sz val="9"/>
            <color indexed="81"/>
            <rFont val="Tahoma"/>
            <family val="2"/>
          </rPr>
          <t>Rick Odlum:</t>
        </r>
        <r>
          <rPr>
            <sz val="9"/>
            <color indexed="81"/>
            <rFont val="Tahoma"/>
            <family val="2"/>
          </rPr>
          <t xml:space="preserve">
GLGT Rate increase to 8.338/Dth/M</t>
        </r>
      </text>
    </comment>
    <comment ref="D69" authorId="0" shapeId="0">
      <text>
        <r>
          <rPr>
            <b/>
            <sz val="9"/>
            <color indexed="81"/>
            <rFont val="Tahoma"/>
            <family val="2"/>
          </rPr>
          <t>Rick Odlum:</t>
        </r>
        <r>
          <rPr>
            <sz val="9"/>
            <color indexed="81"/>
            <rFont val="Tahoma"/>
            <family val="2"/>
          </rPr>
          <t xml:space="preserve">
Per Union's 2014 - 18 Settlement Agreement EB-2011-0210, Appendix A</t>
        </r>
      </text>
    </comment>
    <comment ref="D70" authorId="0" shapeId="0">
      <text>
        <r>
          <rPr>
            <b/>
            <sz val="9"/>
            <color indexed="81"/>
            <rFont val="Tahoma"/>
            <family val="2"/>
          </rPr>
          <t>Rick Odlum:</t>
        </r>
        <r>
          <rPr>
            <sz val="9"/>
            <color indexed="81"/>
            <rFont val="Tahoma"/>
            <family val="2"/>
          </rPr>
          <t xml:space="preserve">
Per Union's 2014 - 18 Settlement Agreement EB-2011-0210, Appendix A</t>
        </r>
      </text>
    </comment>
    <comment ref="D73" authorId="0" shapeId="0">
      <text>
        <r>
          <rPr>
            <b/>
            <sz val="9"/>
            <color indexed="81"/>
            <rFont val="Tahoma"/>
            <family val="2"/>
          </rPr>
          <t>Rick Odlum:</t>
        </r>
        <r>
          <rPr>
            <sz val="9"/>
            <color indexed="81"/>
            <rFont val="Tahoma"/>
            <family val="2"/>
          </rPr>
          <t xml:space="preserve">
Per Union's 2014 - 18 Settlement Agreement EB-2011-0210, Appendix A</t>
        </r>
      </text>
    </comment>
    <comment ref="D75" authorId="1" shapeId="0">
      <text>
        <r>
          <rPr>
            <b/>
            <sz val="8"/>
            <color indexed="81"/>
            <rFont val="Tahoma"/>
            <family val="2"/>
          </rPr>
          <t>TransCanada:</t>
        </r>
        <r>
          <rPr>
            <sz val="8"/>
            <color indexed="81"/>
            <rFont val="Tahoma"/>
            <family val="2"/>
          </rPr>
          <t xml:space="preserve">
Rates per Union Tolls application filed 2010-09-30 to be effective Sep 1, 2011</t>
        </r>
      </text>
    </comment>
    <comment ref="D77" authorId="0" shapeId="0">
      <text>
        <r>
          <rPr>
            <b/>
            <sz val="9"/>
            <color indexed="81"/>
            <rFont val="Tahoma"/>
            <family val="2"/>
          </rPr>
          <t>Rick Odlum:</t>
        </r>
        <r>
          <rPr>
            <sz val="9"/>
            <color indexed="81"/>
            <rFont val="Tahoma"/>
            <family val="2"/>
          </rPr>
          <t xml:space="preserve">
Increase 2015 by 10% Per Union's 2014 - 18 Settlement Agreement EB-2011-0210, Appendix A</t>
        </r>
      </text>
    </comment>
    <comment ref="D79" authorId="0" shapeId="0">
      <text>
        <r>
          <rPr>
            <b/>
            <sz val="9"/>
            <color indexed="81"/>
            <rFont val="Tahoma"/>
            <family val="2"/>
          </rPr>
          <t>Rick Odlum:</t>
        </r>
        <r>
          <rPr>
            <sz val="9"/>
            <color indexed="81"/>
            <rFont val="Tahoma"/>
            <family val="2"/>
          </rPr>
          <t xml:space="preserve">
Per Union's 2014 - 18 Settlement Agreement EB-2011-0210, Appendix A</t>
        </r>
      </text>
    </comment>
    <comment ref="D80" authorId="0" shapeId="0">
      <text>
        <r>
          <rPr>
            <b/>
            <sz val="9"/>
            <color indexed="81"/>
            <rFont val="Tahoma"/>
            <family val="2"/>
          </rPr>
          <t>Rick Odlum:</t>
        </r>
        <r>
          <rPr>
            <sz val="9"/>
            <color indexed="81"/>
            <rFont val="Tahoma"/>
            <family val="2"/>
          </rPr>
          <t xml:space="preserve">
Per Union's 2014 - 18 Settlement Agreement EB-2011-0210, Appendix A</t>
        </r>
      </text>
    </comment>
    <comment ref="F80" authorId="0" shapeId="0">
      <text>
        <r>
          <rPr>
            <b/>
            <sz val="9"/>
            <color indexed="81"/>
            <rFont val="Tahoma"/>
            <family val="2"/>
          </rPr>
          <t>Rick Odlum:</t>
        </r>
        <r>
          <rPr>
            <sz val="9"/>
            <color indexed="81"/>
            <rFont val="Tahoma"/>
            <family val="2"/>
          </rPr>
          <t xml:space="preserve">
Includes 135 TJ requirement due to CDA Breakup</t>
        </r>
      </text>
    </comment>
  </commentList>
</comments>
</file>

<file path=xl/comments3.xml><?xml version="1.0" encoding="utf-8"?>
<comments xmlns="http://schemas.openxmlformats.org/spreadsheetml/2006/main">
  <authors>
    <author>Myles Trawick</author>
  </authors>
  <commentList>
    <comment ref="G6" authorId="0" shapeId="0">
      <text>
        <r>
          <rPr>
            <b/>
            <sz val="9"/>
            <color indexed="81"/>
            <rFont val="Tahoma"/>
            <family val="2"/>
          </rPr>
          <t>Myles Trawick:</t>
        </r>
        <r>
          <rPr>
            <sz val="9"/>
            <color indexed="81"/>
            <rFont val="Tahoma"/>
            <family val="2"/>
          </rPr>
          <t xml:space="preserve">
Linked to Segmented Costs tab where the Net Plant information is stored (Originally from Accounting.)</t>
        </r>
      </text>
    </comment>
    <comment ref="G8" authorId="0" shapeId="0">
      <text>
        <r>
          <rPr>
            <b/>
            <sz val="9"/>
            <color indexed="81"/>
            <rFont val="Tahoma"/>
            <family val="2"/>
          </rPr>
          <t>Myles Trawick:</t>
        </r>
        <r>
          <rPr>
            <sz val="9"/>
            <color indexed="81"/>
            <rFont val="Tahoma"/>
            <family val="2"/>
          </rPr>
          <t xml:space="preserve">
Total Net Plant less metering component to calculate Transmission net plant.</t>
        </r>
      </text>
    </comment>
    <comment ref="D13" authorId="0" shapeId="0">
      <text>
        <r>
          <rPr>
            <b/>
            <sz val="9"/>
            <color indexed="81"/>
            <rFont val="Tahoma"/>
            <family val="2"/>
          </rPr>
          <t>Myles Trawick:</t>
        </r>
        <r>
          <rPr>
            <sz val="9"/>
            <color indexed="81"/>
            <rFont val="Tahoma"/>
            <family val="2"/>
          </rPr>
          <t xml:space="preserve">
These three %'s will NOT add up to 100% of Transmission Net Plant because there are other items like Land Rights included in TNP that we do not want to account for in the SNB calculation.</t>
        </r>
      </text>
    </comment>
    <comment ref="C16" authorId="0" shapeId="0">
      <text>
        <r>
          <rPr>
            <b/>
            <sz val="9"/>
            <color indexed="81"/>
            <rFont val="Tahoma"/>
            <family val="2"/>
          </rPr>
          <t>Myles Trawick:</t>
        </r>
        <r>
          <rPr>
            <sz val="9"/>
            <color indexed="81"/>
            <rFont val="Tahoma"/>
            <family val="2"/>
          </rPr>
          <t xml:space="preserve">
From Appendix A (Accounting Schedule under working Capital) - the sum of line pack and storage gas.
</t>
        </r>
        <r>
          <rPr>
            <b/>
            <sz val="9"/>
            <color indexed="81"/>
            <rFont val="Tahoma"/>
            <family val="2"/>
          </rPr>
          <t>Note</t>
        </r>
        <r>
          <rPr>
            <sz val="9"/>
            <color indexed="81"/>
            <rFont val="Tahoma"/>
            <family val="2"/>
          </rPr>
          <t>: Storage gas cost has gone down due to the ML selling off storage gas in 2014.</t>
        </r>
      </text>
    </comment>
    <comment ref="C34" authorId="0" shapeId="0">
      <text>
        <r>
          <rPr>
            <b/>
            <sz val="9"/>
            <color indexed="81"/>
            <rFont val="Tahoma"/>
            <family val="2"/>
          </rPr>
          <t>Myles Trawick:</t>
        </r>
        <r>
          <rPr>
            <sz val="9"/>
            <color indexed="81"/>
            <rFont val="Tahoma"/>
            <family val="2"/>
          </rPr>
          <t xml:space="preserve">
2014 values - hard coded the split.</t>
        </r>
      </text>
    </comment>
  </commentList>
</comments>
</file>

<file path=xl/sharedStrings.xml><?xml version="1.0" encoding="utf-8"?>
<sst xmlns="http://schemas.openxmlformats.org/spreadsheetml/2006/main" count="10589" uniqueCount="2433">
  <si>
    <t>Line</t>
  </si>
  <si>
    <t>Toll</t>
  </si>
  <si>
    <t>No.</t>
  </si>
  <si>
    <t>($/GJ)</t>
  </si>
  <si>
    <t>(a)</t>
  </si>
  <si>
    <t>(b)</t>
  </si>
  <si>
    <t>(c)</t>
  </si>
  <si>
    <t>(d)</t>
  </si>
  <si>
    <t>(e)</t>
  </si>
  <si>
    <t>Centram MDA</t>
  </si>
  <si>
    <t>Emerson 2</t>
  </si>
  <si>
    <t>FT</t>
  </si>
  <si>
    <t>Empress</t>
  </si>
  <si>
    <t>Centram SSDA</t>
  </si>
  <si>
    <t>Centrat MDA</t>
  </si>
  <si>
    <t>Cornwall</t>
  </si>
  <si>
    <t>East Hereford</t>
  </si>
  <si>
    <t>Emerson 1</t>
  </si>
  <si>
    <t>Enbridge CDA</t>
  </si>
  <si>
    <t>Enbridge EDA</t>
  </si>
  <si>
    <t>GMIT EDA</t>
  </si>
  <si>
    <t>GMIT NDA</t>
  </si>
  <si>
    <t>Iroquois</t>
  </si>
  <si>
    <t>KPUC EDA</t>
  </si>
  <si>
    <t>Napierville</t>
  </si>
  <si>
    <t>Nipigon WDA</t>
  </si>
  <si>
    <t>Philipsburg</t>
  </si>
  <si>
    <t>Tunis NDA</t>
  </si>
  <si>
    <t>Union CDA</t>
  </si>
  <si>
    <t>Union EDA</t>
  </si>
  <si>
    <t>Union NCDA</t>
  </si>
  <si>
    <t>Union NDA</t>
  </si>
  <si>
    <t>Union SSMDA</t>
  </si>
  <si>
    <t>Union WDA</t>
  </si>
  <si>
    <t>Welwyn</t>
  </si>
  <si>
    <t>Kirkwall</t>
  </si>
  <si>
    <t>Chippawa</t>
  </si>
  <si>
    <t>Niagara Falls</t>
  </si>
  <si>
    <t>North Bay Junction</t>
  </si>
  <si>
    <t>SS. Marie</t>
  </si>
  <si>
    <t>St. Clair</t>
  </si>
  <si>
    <t>Union SWDA</t>
  </si>
  <si>
    <t>Union Dawn</t>
  </si>
  <si>
    <t>Union Parkway Belt</t>
  </si>
  <si>
    <t>Notes:</t>
  </si>
  <si>
    <t>Calstock NDA</t>
  </si>
  <si>
    <t>Daily Equivalent FT</t>
  </si>
  <si>
    <t>FT Toll</t>
  </si>
  <si>
    <t>for IT / STFT</t>
  </si>
  <si>
    <t>Receipt Point</t>
  </si>
  <si>
    <t xml:space="preserve"> Delivery Point</t>
  </si>
  <si>
    <t>TransGas SSDA</t>
  </si>
  <si>
    <t>Spruce</t>
  </si>
  <si>
    <t>Enbridge SWDA</t>
  </si>
  <si>
    <t>Dawn Export</t>
  </si>
  <si>
    <t>Bayhurst 1</t>
  </si>
  <si>
    <t>Grand Coulee</t>
  </si>
  <si>
    <t>Herbert</t>
  </si>
  <si>
    <t>Liebenthal</t>
  </si>
  <si>
    <t>Richmound</t>
  </si>
  <si>
    <t>Sainte-Genevieve-de-Berthier</t>
  </si>
  <si>
    <t>Shackleton</t>
  </si>
  <si>
    <t>Steelman</t>
  </si>
  <si>
    <t>Success</t>
  </si>
  <si>
    <t>Suffield 2</t>
  </si>
  <si>
    <t>Union Parkway Belt to Union EDA</t>
  </si>
  <si>
    <t>Storage Transportation Service</t>
  </si>
  <si>
    <t>Firm Transportation - Short Notice</t>
  </si>
  <si>
    <t>Particulars</t>
  </si>
  <si>
    <t>Monthly Toll</t>
  </si>
  <si>
    <t>Daily Equivalent</t>
  </si>
  <si>
    <t>No</t>
  </si>
  <si>
    <t>Kirkwall to Thorold CDA</t>
  </si>
  <si>
    <t>Union Parkway Belt to Goreway CDA</t>
  </si>
  <si>
    <t>Union Parkway Belt to Victoria Square #2 CDA</t>
  </si>
  <si>
    <t>Union Parkway Belt to Schomberg #2 CDA</t>
  </si>
  <si>
    <t>Enbridge Parkway CDA</t>
  </si>
  <si>
    <t>Union Dawn Receipt Point Surcharge</t>
  </si>
  <si>
    <t>Distance</t>
  </si>
  <si>
    <t>Union ECDA</t>
  </si>
  <si>
    <t>Compliance</t>
  </si>
  <si>
    <t>Energy</t>
  </si>
  <si>
    <t>($/GJ/D)</t>
  </si>
  <si>
    <t>Note:</t>
  </si>
  <si>
    <t>Eastern Section</t>
  </si>
  <si>
    <t>Western Section</t>
  </si>
  <si>
    <t>Capacity Charge</t>
  </si>
  <si>
    <t>Energy Deficient Gas Allowance (EDGA) Service</t>
  </si>
  <si>
    <t>This SNB Toll is a representative toll for the Eastern Region.</t>
  </si>
  <si>
    <t>SNB Toll</t>
  </si>
  <si>
    <t>Short Notice Balancing (SNB) Service</t>
  </si>
  <si>
    <t>GJ/d</t>
  </si>
  <si>
    <t>The Daily Equivalent Toll is only applicable to STS Injections, IT, Diversions, STFT and SSS.</t>
  </si>
  <si>
    <t>Average Delivery Pressure Toll</t>
  </si>
  <si>
    <t>Delivery Pressure</t>
  </si>
  <si>
    <t>Enhanced Market Balancing Service</t>
  </si>
  <si>
    <t xml:space="preserve"> </t>
  </si>
  <si>
    <t>$/GJ</t>
  </si>
  <si>
    <t>Illustrative SNB Toll ($/GJ/Mo)</t>
  </si>
  <si>
    <t>*SNB Tolls will be a monthly demand charge per GJ of SNB contract quantity</t>
  </si>
  <si>
    <t>Daily equivalent SNB Toll,Eastern Zone with 3 corridors ($/GJ/d)*</t>
  </si>
  <si>
    <t xml:space="preserve"> D = (A+B+C)/3</t>
  </si>
  <si>
    <t>Eastern Average ($/GJ)*</t>
  </si>
  <si>
    <t>C</t>
  </si>
  <si>
    <t>($/GJ/d)</t>
  </si>
  <si>
    <t>($/yr)</t>
  </si>
  <si>
    <t>(TJ/d)</t>
  </si>
  <si>
    <t>(TJ)</t>
  </si>
  <si>
    <t>Charge</t>
  </si>
  <si>
    <t>per Unit</t>
  </si>
  <si>
    <t>Cost</t>
  </si>
  <si>
    <t>Required</t>
  </si>
  <si>
    <t>FT-SN Qty</t>
  </si>
  <si>
    <t>SNB Qty</t>
  </si>
  <si>
    <t>G&amp;A</t>
  </si>
  <si>
    <t xml:space="preserve">Pipe </t>
  </si>
  <si>
    <t>Storage Gas</t>
  </si>
  <si>
    <t>Compressor</t>
  </si>
  <si>
    <t>KM's</t>
  </si>
  <si>
    <t>MW's</t>
  </si>
  <si>
    <t>AVERAGE COSTING</t>
  </si>
  <si>
    <t>Linepack and</t>
  </si>
  <si>
    <t>Eastern Corridor</t>
  </si>
  <si>
    <t>b</t>
  </si>
  <si>
    <t>Kirkwall Average ($/GJ)*</t>
  </si>
  <si>
    <t>Kirkwall Corridor</t>
  </si>
  <si>
    <t>a</t>
  </si>
  <si>
    <t>Parkway Average ($/GJ)*</t>
  </si>
  <si>
    <t>Parkway Corridor</t>
  </si>
  <si>
    <t>2008 SNB Toll Calculation</t>
  </si>
  <si>
    <t>Illustrative Example</t>
  </si>
  <si>
    <t>Table 3</t>
  </si>
  <si>
    <t>SNB Tolling Methodology</t>
  </si>
  <si>
    <t>TTF  Issue A-2</t>
  </si>
  <si>
    <t xml:space="preserve"> S</t>
  </si>
  <si>
    <t>General &amp; Administration</t>
  </si>
  <si>
    <t>R = N/D</t>
  </si>
  <si>
    <t>$/GJ/yr</t>
  </si>
  <si>
    <t>Total per unit cost of linepack and storage gas</t>
  </si>
  <si>
    <t>Q = M/C</t>
  </si>
  <si>
    <t>$/MW/yr</t>
  </si>
  <si>
    <t>Total cost per megawatt</t>
  </si>
  <si>
    <t>P = L/B</t>
  </si>
  <si>
    <t>$/unit/yr</t>
  </si>
  <si>
    <t>Total cost per compressor unit</t>
  </si>
  <si>
    <t>O = K/A</t>
  </si>
  <si>
    <t>$/KM/yr</t>
  </si>
  <si>
    <t>Total cost per pipeline kilometre</t>
  </si>
  <si>
    <t>Cost per Unit Calculation</t>
  </si>
  <si>
    <t>J</t>
  </si>
  <si>
    <t>Net Plant - Linepack and Storage Gas</t>
  </si>
  <si>
    <t>I</t>
  </si>
  <si>
    <t>Net Plant - Compression Equipment</t>
  </si>
  <si>
    <t>H</t>
  </si>
  <si>
    <t>Net Plant - Compression Structure</t>
  </si>
  <si>
    <t>G</t>
  </si>
  <si>
    <t>Net Plant - Pipeline</t>
  </si>
  <si>
    <t>Transmission Cost</t>
  </si>
  <si>
    <t>Value - GPIS</t>
  </si>
  <si>
    <t>Allocated</t>
  </si>
  <si>
    <t>Asset</t>
  </si>
  <si>
    <t>F</t>
  </si>
  <si>
    <t>Transmission Mainline Net Plant (TD Schedule 2.2, 2.3)</t>
  </si>
  <si>
    <t>E</t>
  </si>
  <si>
    <t>Fixed Transmission Costs (TD Schedule 2.1)</t>
  </si>
  <si>
    <t>Functional Distribution of Net Revenue Requirement</t>
  </si>
  <si>
    <t>D</t>
  </si>
  <si>
    <t>Total Mainline Linepack and Storage Gas quantity (GJ)</t>
  </si>
  <si>
    <t>Total Mainline Compressor MW's</t>
  </si>
  <si>
    <t>B</t>
  </si>
  <si>
    <t>Total Mainline Compressor Units</t>
  </si>
  <si>
    <t>A</t>
  </si>
  <si>
    <t>Total Mainline Pipeline KM's</t>
  </si>
  <si>
    <t>System assests</t>
  </si>
  <si>
    <t>SNB Calculation</t>
  </si>
  <si>
    <t>Table 2</t>
  </si>
  <si>
    <t>KM's Utilized</t>
  </si>
  <si>
    <t>MW's Utilized</t>
  </si>
  <si>
    <t xml:space="preserve">Pipeline </t>
  </si>
  <si>
    <t>Sundridge C/S Unit Addition (6 MW)</t>
  </si>
  <si>
    <t>Sundridge C/S Unit Addition (1 MW)</t>
  </si>
  <si>
    <t>3. Eastern Corridor</t>
  </si>
  <si>
    <t>MLV 211</t>
  </si>
  <si>
    <t>MLV 1301</t>
  </si>
  <si>
    <t>MLV 214</t>
  </si>
  <si>
    <t>MLV 1703</t>
  </si>
  <si>
    <t>MLV 1701</t>
  </si>
  <si>
    <t>MLV 209</t>
  </si>
  <si>
    <t>MLV 1302</t>
  </si>
  <si>
    <t>(km)</t>
  </si>
  <si>
    <t>Length</t>
  </si>
  <si>
    <t>End location</t>
  </si>
  <si>
    <t>Start Location</t>
  </si>
  <si>
    <t>Pipe Diameter</t>
  </si>
  <si>
    <t>SNB Quantity</t>
  </si>
  <si>
    <t>2.  Kirkwall Corridor</t>
  </si>
  <si>
    <t>Percentage utilization of the above Facilities</t>
  </si>
  <si>
    <t>Niagara Extension Loop (13.8 km X NPS 42) MLV 202 to MLV 203</t>
  </si>
  <si>
    <t>Niagara Extension Loop (12.8 km X NPS 42) MLV 203 to MLV 204)</t>
  </si>
  <si>
    <t>Maple C/S Unit Addition (2 MW)</t>
  </si>
  <si>
    <t>Maple C/S Unit Addition (7 MW)</t>
  </si>
  <si>
    <t>1.  Parkway Corridor</t>
  </si>
  <si>
    <t>Table 1</t>
  </si>
  <si>
    <t>SNB Facilities Utilization Eastern Zone Toll</t>
  </si>
  <si>
    <t>S = V  / (X x 365)</t>
  </si>
  <si>
    <t>X</t>
  </si>
  <si>
    <t>TJ/d</t>
  </si>
  <si>
    <t>Total System Firm Service Allocation Units</t>
  </si>
  <si>
    <t>V = T + U</t>
  </si>
  <si>
    <t>$000's/yr</t>
  </si>
  <si>
    <t>Functional Distribution of Net Fixed Energy from the Net Revenue Requirement</t>
  </si>
  <si>
    <t>U = Line 24 x (T / Line 17)</t>
  </si>
  <si>
    <t>Proportion of Total Miscellaneous Revenue to Attribute to G&amp;A</t>
  </si>
  <si>
    <t>T = Lines 1 + 2</t>
  </si>
  <si>
    <t>Fixed Energy costs related to G&amp;A</t>
  </si>
  <si>
    <t>GRR (From COS Input)</t>
  </si>
  <si>
    <t>NEB Cost Recovery &amp; Collaborative Costs</t>
  </si>
  <si>
    <t>Operations, Maintenance and Administrative</t>
  </si>
  <si>
    <t>Fixed</t>
  </si>
  <si>
    <t>Total</t>
  </si>
  <si>
    <t>Transmission</t>
  </si>
  <si>
    <t xml:space="preserve">Calculation for General &amp; Administration Charge "S" </t>
  </si>
  <si>
    <t>System assets</t>
  </si>
  <si>
    <t>2008 Unit Cost Calculation</t>
  </si>
  <si>
    <t>daily equivalent SNB Toll, Eastern Zone with 3 corridors ($/GJ/d)*</t>
  </si>
  <si>
    <t>Eastern Zone SNB Toll ($/GJ/Mo)</t>
  </si>
  <si>
    <t>CONFIDENTIAL</t>
  </si>
  <si>
    <t>Where did I get this number??</t>
  </si>
  <si>
    <t>TM1</t>
  </si>
  <si>
    <t>TM1 = 65,556</t>
  </si>
  <si>
    <t>Misc. Revenue Energy</t>
  </si>
  <si>
    <t>NDMR Energy</t>
  </si>
  <si>
    <t>DMR Total Energy</t>
  </si>
  <si>
    <t>GRR</t>
  </si>
  <si>
    <t>FE G&amp;A / GRR * NDMR +DMR</t>
  </si>
  <si>
    <t>FE G&amp;A</t>
  </si>
  <si>
    <t>( DB ( ' Misc_Revenue ' , !Time_Year, !Scenarios, ' Non-Discretionary_Miscellaneous_Revenue ' , ' Energy ' ) + DB ( ' Misc_Revenue ' , !Time_Year, !Scenarios, ' DMR_Total ' , ' Energy ' ) ) ;</t>
  </si>
  <si>
    <t>[ ' Misc_Rev_to_G&amp;A ' ] = - [ ' Fix_Energy_Cost_G&amp;A ' ] \ DB ( ' GRR ' , !Time_Year, !Scenarios, ' Gross_Revenue_Requirement ' , ' Energy ' ) *</t>
  </si>
  <si>
    <t># General and Admin share of Misc. Revenue - a portion of NDMR and DMR Energy</t>
  </si>
  <si>
    <t>Regulatory Proceedings &amp; Collaborative Costs</t>
  </si>
  <si>
    <t>NEB Cost Recovery</t>
  </si>
  <si>
    <t>Compressor Equipment</t>
  </si>
  <si>
    <t>Compressor Structures</t>
  </si>
  <si>
    <t>Split of Compressor GP based on Deprec Expense</t>
  </si>
  <si>
    <t>Net Plant</t>
  </si>
  <si>
    <t>* from accting schedules - 2014 forecast</t>
  </si>
  <si>
    <t>Accum Deprec</t>
  </si>
  <si>
    <t>GPIS</t>
  </si>
  <si>
    <t>Metering</t>
  </si>
  <si>
    <t>Accum Deprec - Compression Equipment</t>
  </si>
  <si>
    <t>Accum Deprec - Compression Structure</t>
  </si>
  <si>
    <t>Accum Deprec - Pipeline</t>
  </si>
  <si>
    <t>GPIS - Compression Equipment</t>
  </si>
  <si>
    <t>GPIS - Compression Structure</t>
  </si>
  <si>
    <t>GPIS - Pipeline</t>
  </si>
  <si>
    <t>*values need to be updated with any RB changes (should refererence latest Schedule A)</t>
  </si>
  <si>
    <t>$000</t>
  </si>
  <si>
    <t>Tolls</t>
  </si>
  <si>
    <t>Eastern</t>
  </si>
  <si>
    <t>NOL</t>
  </si>
  <si>
    <t>Prairies</t>
  </si>
  <si>
    <t>Net Revenue Requirement</t>
  </si>
  <si>
    <t>Total Miscellaneous Revenue</t>
  </si>
  <si>
    <t>EOT</t>
  </si>
  <si>
    <t>FT-SN Premium</t>
  </si>
  <si>
    <t>Sales Meter Station</t>
  </si>
  <si>
    <t>GJ</t>
  </si>
  <si>
    <t>PRAIRIES</t>
  </si>
  <si>
    <t>Premium</t>
  </si>
  <si>
    <t xml:space="preserve">FTSN Revenues </t>
  </si>
  <si>
    <t>Transportation Tolls</t>
  </si>
  <si>
    <t>REVENUE CHECK</t>
  </si>
  <si>
    <t>Postage Stamp Toll</t>
  </si>
  <si>
    <t>SYSTEM AVERAGE UNIT COST CALCULATION</t>
  </si>
  <si>
    <t>GJ-Km/d</t>
  </si>
  <si>
    <t>BILLING DETERMINANTS</t>
  </si>
  <si>
    <t>NET GRR</t>
  </si>
  <si>
    <t>NDMR - Transmission Total</t>
  </si>
  <si>
    <t>NDMR - Energy Total</t>
  </si>
  <si>
    <t>Dawn Receipt</t>
  </si>
  <si>
    <t>NON-DISCRETIONARY MISCELLANEOUS REVENUE</t>
  </si>
  <si>
    <t>GRR - Transmission</t>
  </si>
  <si>
    <t>GRR - Energy</t>
  </si>
  <si>
    <t>GROSS REVENUE REQUIREMENT</t>
  </si>
  <si>
    <t>SEGMENTED</t>
  </si>
  <si>
    <t>maintain</t>
  </si>
  <si>
    <t>-</t>
  </si>
  <si>
    <t>Lachenaie</t>
  </si>
  <si>
    <t>(i) Aggregate charges for Mainline transportation service will include the applicable transportation toll, abandonment surcharge, delivery pressure toll (if applicable) and Dawn receipt surcharge (if applicable) pursuant to the Mainline Tariff.</t>
  </si>
  <si>
    <t>(ii) Any transportation with a Union Dawn receipt point is subject to a Union Dawn Receipt Point Surcharge. Transport under FT, FT-NR, FT-SN and EMB service is subject to the monthly surcharge toll, and other transportation services are subject to the daily equivalent toll. Refer to page 1 for the Union Dawn Receipt Point Surcharge tolls.</t>
  </si>
  <si>
    <t>(iii) Transportation with receipt points from delivery areas or Spruce is for STFT and IT service only.</t>
  </si>
  <si>
    <t>(iv) The following delivery points are subject to an additional charge for delivery pressure: Emerson 1 &amp; 2, Union SWDA, Enbridge SWDA, Dawn Export, Niagara Falls, Iroquois, Chippawa, and East Hereford.  Refer to page 1 for the delivery pressure toll.</t>
  </si>
  <si>
    <t>2015 FORECAST</t>
  </si>
  <si>
    <t>TRANSPORTATION BY OTHERS</t>
  </si>
  <si>
    <t>FOR THE YEAR ENDING DECEMBER 31, 2015</t>
  </si>
  <si>
    <t>LINE</t>
  </si>
  <si>
    <t>NO.</t>
  </si>
  <si>
    <t>PARTICULARS</t>
  </si>
  <si>
    <t>RATES</t>
  </si>
  <si>
    <t>VOLUME</t>
  </si>
  <si>
    <t xml:space="preserve">    (a)</t>
  </si>
  <si>
    <t>Great Lakes Gas Transmission L.P.</t>
  </si>
  <si>
    <t>$US</t>
  </si>
  <si>
    <t>Dth</t>
  </si>
  <si>
    <t>($000)</t>
  </si>
  <si>
    <t>From Emerson - St Clair</t>
  </si>
  <si>
    <t>Demand Contract FT17189</t>
  </si>
  <si>
    <t>Expired Oct 2014</t>
  </si>
  <si>
    <t>Commodity ( Western to Eastern )</t>
  </si>
  <si>
    <t>Commodity ( Eastern to Western )</t>
  </si>
  <si>
    <t>ACA Charge</t>
  </si>
  <si>
    <t>Total Emerson - St Clair</t>
  </si>
  <si>
    <t>From St Clair - Emerson</t>
  </si>
  <si>
    <t>Backhaul Demand Contract FT16128 ( Jan. to Dec. )</t>
  </si>
  <si>
    <t>Expires Oct 2014, assumed renewed</t>
  </si>
  <si>
    <t>Demand Contract FT17190 ( Jan. to Mar. )</t>
  </si>
  <si>
    <t>Expires Oct 2015, assumed renewed</t>
  </si>
  <si>
    <t>Demand Contract FT17190 ( Apr. to Oct. )</t>
  </si>
  <si>
    <t>Demand Contract FT17190 ( Nov. to Dec. )</t>
  </si>
  <si>
    <t>Subtotal</t>
  </si>
  <si>
    <t>Commodity</t>
  </si>
  <si>
    <t>estimate based on 2015 levels</t>
  </si>
  <si>
    <t>Total St Clair - Emerson</t>
  </si>
  <si>
    <t>From St Clair - Sault Ste Marie</t>
  </si>
  <si>
    <r>
      <t>Demand Contract FT17193 ( Jan. to Mar. )</t>
    </r>
    <r>
      <rPr>
        <vertAlign val="superscript"/>
        <sz val="9"/>
        <rFont val="Helvetica"/>
        <family val="2"/>
      </rPr>
      <t xml:space="preserve"> </t>
    </r>
  </si>
  <si>
    <r>
      <t>Demand Contract FT17193 ( Apr. to Oct. )</t>
    </r>
    <r>
      <rPr>
        <vertAlign val="superscript"/>
        <sz val="9"/>
        <rFont val="Helvetica"/>
        <family val="2"/>
      </rPr>
      <t xml:space="preserve"> </t>
    </r>
  </si>
  <si>
    <r>
      <t>Demand Contract FT17193 ( Nov. to Dec. )</t>
    </r>
    <r>
      <rPr>
        <vertAlign val="superscript"/>
        <sz val="9"/>
        <rFont val="Helvetica"/>
        <family val="2"/>
      </rPr>
      <t xml:space="preserve"> </t>
    </r>
  </si>
  <si>
    <t>Total St Clair - Sault St Marie</t>
  </si>
  <si>
    <t>From Emerson - Sault Ste Marie</t>
  </si>
  <si>
    <t>Demand ContractFT18106 ( Jan. to Dec. )</t>
  </si>
  <si>
    <t>Expires Oct 2016</t>
  </si>
  <si>
    <t>Demand ContractFT18107 ( Jan. to Dec. )</t>
  </si>
  <si>
    <t>Expires Oct 2019</t>
  </si>
  <si>
    <t>Total Emerson - Sault St Marie</t>
  </si>
  <si>
    <t>Subtotal ($US)</t>
  </si>
  <si>
    <t>Foreign Exchange ( Annual Average )</t>
  </si>
  <si>
    <t>GLGT Payments ( $CDN )</t>
  </si>
  <si>
    <t>Assignments</t>
  </si>
  <si>
    <t>updated by Mike Mazier/John Monaco Sep 17, 2013</t>
  </si>
  <si>
    <t>Total Great Lakes Gas Transmission</t>
  </si>
  <si>
    <t xml:space="preserve">Union Gas Limited </t>
  </si>
  <si>
    <t>$CDN</t>
  </si>
  <si>
    <t>M12 From Dawn -</t>
  </si>
  <si>
    <t>Demand - Parkway ( Jan. - Oct.)</t>
  </si>
  <si>
    <t>Contracts Expire Oct 31, 2016</t>
  </si>
  <si>
    <t>M12086</t>
  </si>
  <si>
    <t>Demand - Kirkwall ( Jan. - Oct.)</t>
  </si>
  <si>
    <t>M12012,M12122,M12123</t>
  </si>
  <si>
    <t>62,602 / 13,336 / 158,003</t>
  </si>
  <si>
    <t>Demand - Kirkwall ( Nov. - Dec.)</t>
  </si>
  <si>
    <t>62,602 / 134077</t>
  </si>
  <si>
    <t>M12X004,M12X005</t>
  </si>
  <si>
    <t>50,000 / 78,316</t>
  </si>
  <si>
    <t>M12X -</t>
  </si>
  <si>
    <t>Demand - Dawn / Parkway / Kirkwall ( Jan. - Dec.)</t>
  </si>
  <si>
    <t>Contracts Expire Aug 2021, Oct 2022</t>
  </si>
  <si>
    <t>M12X013</t>
  </si>
  <si>
    <t>C1 From Parkway</t>
  </si>
  <si>
    <t>Demand - Kirkwall  ( Jan. - Aug.)</t>
  </si>
  <si>
    <t>C1 From Dawn</t>
  </si>
  <si>
    <t>Dawn to Dawn ( Jan. - Dec.)</t>
  </si>
  <si>
    <t>Contract Expires Oct 31, 2016</t>
  </si>
  <si>
    <t>C10097</t>
  </si>
  <si>
    <t>Kirkwall to Parkway</t>
  </si>
  <si>
    <t>Demand - Parkway  ( Jan. - Dec.)</t>
  </si>
  <si>
    <t>Contracts ExpireOct 2022, Oct 2023</t>
  </si>
  <si>
    <t>M12219</t>
  </si>
  <si>
    <t>M12220</t>
  </si>
  <si>
    <t>Overrun Charges</t>
  </si>
  <si>
    <t>Less Deferral Account Disposition</t>
  </si>
  <si>
    <t>Total Union Gas</t>
  </si>
  <si>
    <t xml:space="preserve">TQM Inc. </t>
  </si>
  <si>
    <t>TQM Toll</t>
  </si>
  <si>
    <t>Per Schedule 1 TQM - Interim Tolls  Summary</t>
  </si>
  <si>
    <t>Enbridge Albion Pipeline</t>
  </si>
  <si>
    <t>Included in IR resonse ANE 1-32</t>
  </si>
  <si>
    <t>Total Transportation by Others</t>
  </si>
  <si>
    <t>Note (1) : Updated Contracts</t>
  </si>
  <si>
    <t>2016 - 2020 FORECAST</t>
  </si>
  <si>
    <t>FOR THE YEAR ENDING DECEMBER 31, 2016</t>
  </si>
  <si>
    <r>
      <t>Demand Contract FT17189 ( Jan. to Oct. )</t>
    </r>
    <r>
      <rPr>
        <vertAlign val="superscript"/>
        <sz val="9"/>
        <rFont val="Helvetica"/>
        <family val="2"/>
      </rPr>
      <t xml:space="preserve"> (1)</t>
    </r>
  </si>
  <si>
    <t>Expires Oct 2016, assumed renewed</t>
  </si>
  <si>
    <t>Demand - Parkway ( Jan. - Dec.)</t>
  </si>
  <si>
    <t>Contracts Expire Oct 31, 2016 - extended to Dec</t>
  </si>
  <si>
    <t>Demand - Kirkwall ( Jan. - Dec.)</t>
  </si>
  <si>
    <t>Contract Expires Oct 31, 2016 - extended to Dec</t>
  </si>
  <si>
    <t>Demand - Parkway  ( Jan. - Oct.)</t>
  </si>
  <si>
    <t>Demand - Parkway  (Nov. - Dec.)</t>
  </si>
  <si>
    <t>adjusted down by $1.23M per change in 2015/16</t>
  </si>
  <si>
    <t>Test Year Fixed costs</t>
  </si>
  <si>
    <t>RH-003-2011</t>
  </si>
  <si>
    <t>Linepack = 22,134,200 GJs ($40,421,000)</t>
  </si>
  <si>
    <t>Storage Gas = 1,012,466 GJs ($3,167,000)</t>
  </si>
  <si>
    <t>Thanks, Pinky</t>
  </si>
  <si>
    <t>Pinky Heir, CA</t>
  </si>
  <si>
    <t>Senior Accounting Analyst, Mainline</t>
  </si>
  <si>
    <t>TransCanada Pipelines Limited</t>
  </si>
  <si>
    <t>450 - 1st Street S.W.</t>
  </si>
  <si>
    <t>Calgary, AB T2P 5H1</t>
  </si>
  <si>
    <t>Tel: 403-920-5880</t>
  </si>
  <si>
    <t>???</t>
  </si>
  <si>
    <t>Total Net Plant (Accounting Schedule 1 OR Ml 10yr model, Rate Base tab)</t>
  </si>
  <si>
    <t>Metering portion of rate base (only 2014 is available; used in all years)</t>
  </si>
  <si>
    <t>Original Settle App</t>
  </si>
  <si>
    <t>March 2, 2015 Change</t>
  </si>
  <si>
    <t>New Demand Contract (Nov to Dec)</t>
  </si>
  <si>
    <t>Commences Nov 1, 2015</t>
  </si>
  <si>
    <t>New Demand Contract (Annual)</t>
  </si>
  <si>
    <t>Included in IR resonse ANE 1-32 (cost updated Feb 2015)</t>
  </si>
  <si>
    <t>Abandonment Surcharge</t>
  </si>
  <si>
    <t xml:space="preserve"> ($/GJ/Month)</t>
  </si>
  <si>
    <t>Delivery Pressure toll applies  to the following locations: Emerson 1 , Emerson 2, Union SWDA, Enbridge SWDA, Dawn Export, Niagara Falls, Iroquois,</t>
  </si>
  <si>
    <t xml:space="preserve"> Chippawa and East Hereford.</t>
  </si>
  <si>
    <t>The EDGA Service capacity charge for the Western Section is the effective Empress to North Bay Junction FT Toll and the capacity charge for</t>
  </si>
  <si>
    <t>the Eastern Section is the effective Parkway to North Bay Junction FT Toll.</t>
  </si>
  <si>
    <t>The EDGA Service fuel charge for the Western Section includes the effective Empress to North Bay Junction monthly fuel ratio and the fuel charge</t>
  </si>
  <si>
    <t>for the Eastern Section includes the effective Parkway to North Bay Junction monthly fuel ratio.</t>
  </si>
  <si>
    <t xml:space="preserve">(vi) The following transportation services are subject to the Abandonment Surcharges: FT, FT-NR, STS, STS-L, SSS, FT-SN, MFP, EMB, IT, STFT, and ST-SN.  The Daily Equivalent Abandonment Surcharge is only applicable to IT, SSS, STFT, ST-SN, ARPs, Diversions and STS Overrun.  </t>
  </si>
  <si>
    <t>TransCanada PipeLines Limited</t>
  </si>
  <si>
    <t>Final Abandonment Surcharges Effective January 1, 2017</t>
  </si>
  <si>
    <t xml:space="preserve">(v) Effective November 1, 2016, the Union CDA was modified such that the Union Parkway Belt, Bronte and Burlington meters were removed from the Union CDA.  The Bronte and Burlington meters were put within a new delivery area called the Union ECDA, and the Parkway-Union meter became a new standalone delivery location called Union Parkway Belt.  The remaining Union CDA meters, Nanticoke and Hamilton Gate, continue to reside in the Union CDA.
</t>
  </si>
  <si>
    <t>Grand Coulee West</t>
  </si>
  <si>
    <t>Whitewood</t>
  </si>
  <si>
    <t>Union Parkway Belt to Napanee #2 EDA</t>
  </si>
  <si>
    <t>Empress to Herbert</t>
  </si>
  <si>
    <t>Toll Orders TG-011-2015 and TG-011-2016</t>
  </si>
  <si>
    <t xml:space="preserve">(Approved pursuant to NEB Letter Decision of September 21, 2017 [NEB ID A86215]) </t>
  </si>
  <si>
    <t>reduced term</t>
  </si>
  <si>
    <t>for months 85 through 108</t>
  </si>
  <si>
    <t>for months 73 through 96</t>
  </si>
  <si>
    <t>for months 61 through 84</t>
  </si>
  <si>
    <t>for months 49 through 72</t>
  </si>
  <si>
    <t>for months 37 through 60</t>
  </si>
  <si>
    <t>The tolls are inclusive of Delivery Pressure Toll and Abandonment Surcharge.</t>
  </si>
  <si>
    <t>The Abandonment Surcharges are the same as the Empress to Emerson 2 Abandonment Surcharges for FT service.</t>
  </si>
  <si>
    <t>Dawn Long Term Fixed Price</t>
  </si>
  <si>
    <t>Any portion of Contract Demand reduced in term by 12 months</t>
  </si>
  <si>
    <t>Any portion of Contract Demand reduced in term by 24 months</t>
  </si>
  <si>
    <t>Any portion of Contract Demand reduced in term by 36 months</t>
  </si>
  <si>
    <t>Any portion of Contract Demand reduced in term by 48 months</t>
  </si>
  <si>
    <t>Any portion of Contract Demand reduced in term by 60 months</t>
  </si>
  <si>
    <t>($/GJ/Month)</t>
  </si>
  <si>
    <t>For All Dawn LTFP Contract Demand except any portion</t>
  </si>
  <si>
    <t xml:space="preserve">subject to a reduced term for the final 24 months of such </t>
  </si>
  <si>
    <t>Final Mainline Transportation Tolls Effective July 1, 2015 (Amended December 1, 2017) and</t>
  </si>
  <si>
    <t>EmpressEmpress</t>
  </si>
  <si>
    <t>EmpressTransGas SSDA</t>
  </si>
  <si>
    <t>EmpressCentram SSDA</t>
  </si>
  <si>
    <t>EmpressCentram MDA</t>
  </si>
  <si>
    <t>EmpressCentrat MDA</t>
  </si>
  <si>
    <t>EmpressUnion WDA</t>
  </si>
  <si>
    <t>EmpressNipigon WDA</t>
  </si>
  <si>
    <t>EmpressUnion NDA</t>
  </si>
  <si>
    <t>EmpressCalstock NDA</t>
  </si>
  <si>
    <t>EmpressTunis NDA</t>
  </si>
  <si>
    <t>EmpressGMIT NDA</t>
  </si>
  <si>
    <t>EmpressUnion SSMDA</t>
  </si>
  <si>
    <t>EmpressUnion NCDA</t>
  </si>
  <si>
    <t>EmpressUnion CDA</t>
  </si>
  <si>
    <t>EmpressUnion ECDA</t>
  </si>
  <si>
    <t>EmpressUnion EDA</t>
  </si>
  <si>
    <t>EmpressUnion Parkway Belt</t>
  </si>
  <si>
    <t>EmpressEnbridge CDA</t>
  </si>
  <si>
    <t>EmpressEnbridge Parkway CDA</t>
  </si>
  <si>
    <t>EmpressEnbridge EDA</t>
  </si>
  <si>
    <t>EmpressKPUC EDA</t>
  </si>
  <si>
    <t>EmpressGMIT EDA</t>
  </si>
  <si>
    <t>EmpressEnbridge SWDA</t>
  </si>
  <si>
    <t>EmpressUnion SWDA</t>
  </si>
  <si>
    <t>EmpressChippawa</t>
  </si>
  <si>
    <t>EmpressCornwall</t>
  </si>
  <si>
    <t>EmpressEast Hereford</t>
  </si>
  <si>
    <t>EmpressEmerson 1</t>
  </si>
  <si>
    <t>EmpressEmerson 2</t>
  </si>
  <si>
    <t>EmpressIroquois</t>
  </si>
  <si>
    <t>EmpressKirkwall</t>
  </si>
  <si>
    <t>EmpressNapierville</t>
  </si>
  <si>
    <t>EmpressNiagara Falls</t>
  </si>
  <si>
    <t>EmpressNorth Bay Junction</t>
  </si>
  <si>
    <t>EmpressPhilipsburg</t>
  </si>
  <si>
    <t>EmpressSpruce</t>
  </si>
  <si>
    <t>EmpressSt. Clair</t>
  </si>
  <si>
    <t>EmpressWelwyn</t>
  </si>
  <si>
    <t>EmpressDawn Export</t>
  </si>
  <si>
    <t>Bayhurst 1Empress</t>
  </si>
  <si>
    <t>Bayhurst 1TransGas SSDA</t>
  </si>
  <si>
    <t>Bayhurst 1Centram SSDA</t>
  </si>
  <si>
    <t>Bayhurst 1Centram MDA</t>
  </si>
  <si>
    <t>Bayhurst 1Centrat MDA</t>
  </si>
  <si>
    <t>Bayhurst 1Union WDA</t>
  </si>
  <si>
    <t>Bayhurst 1Nipigon WDA</t>
  </si>
  <si>
    <t>Bayhurst 1Union NDA</t>
  </si>
  <si>
    <t>Bayhurst 1Calstock NDA</t>
  </si>
  <si>
    <t>Bayhurst 1Tunis NDA</t>
  </si>
  <si>
    <t>Bayhurst 1GMIT NDA</t>
  </si>
  <si>
    <t>Bayhurst 1Union SSMDA</t>
  </si>
  <si>
    <t>Bayhurst 1Union NCDA</t>
  </si>
  <si>
    <t>Bayhurst 1Union CDA</t>
  </si>
  <si>
    <t>Bayhurst 1Union ECDA</t>
  </si>
  <si>
    <t>Bayhurst 1Union EDA</t>
  </si>
  <si>
    <t>Bayhurst 1Union Parkway Belt</t>
  </si>
  <si>
    <t>Bayhurst 1Enbridge CDA</t>
  </si>
  <si>
    <t>Bayhurst 1Enbridge Parkway CDA</t>
  </si>
  <si>
    <t>Bayhurst 1Enbridge EDA</t>
  </si>
  <si>
    <t>Bayhurst 1GMIT EDA</t>
  </si>
  <si>
    <t>Bayhurst 1Enbridge SWDA</t>
  </si>
  <si>
    <t>Bayhurst 1Union SWDA</t>
  </si>
  <si>
    <t>Bayhurst 1Chippawa</t>
  </si>
  <si>
    <t>Bayhurst 1Cornwall</t>
  </si>
  <si>
    <t>Bayhurst 1East Hereford</t>
  </si>
  <si>
    <t>Bayhurst 1Emerson 1</t>
  </si>
  <si>
    <t>Bayhurst 1Emerson 2</t>
  </si>
  <si>
    <t>Bayhurst 1Iroquois</t>
  </si>
  <si>
    <t>Bayhurst 1Kirkwall</t>
  </si>
  <si>
    <t>Bayhurst 1Napierville</t>
  </si>
  <si>
    <t>Bayhurst 1Niagara Falls</t>
  </si>
  <si>
    <t>Bayhurst 1North Bay Junction</t>
  </si>
  <si>
    <t>Bayhurst 1Philipsburg</t>
  </si>
  <si>
    <t>Bayhurst 1Spruce</t>
  </si>
  <si>
    <t>Bayhurst 1St. Clair</t>
  </si>
  <si>
    <t>Bayhurst 1Welwyn</t>
  </si>
  <si>
    <t>Bayhurst 1Dawn Export</t>
  </si>
  <si>
    <t>Calstock NDAEmpress</t>
  </si>
  <si>
    <t>Calstock NDATransGas SSDA</t>
  </si>
  <si>
    <t>Calstock NDACentram SSDA</t>
  </si>
  <si>
    <t>Calstock NDACentram MDA</t>
  </si>
  <si>
    <t>Calstock NDACentrat MDA</t>
  </si>
  <si>
    <t>Calstock NDAUnion WDA</t>
  </si>
  <si>
    <t>Calstock NDANipigon WDA</t>
  </si>
  <si>
    <t>Calstock NDAUnion NDA</t>
  </si>
  <si>
    <t>Calstock NDACalstock NDA</t>
  </si>
  <si>
    <t>Calstock NDATunis NDA</t>
  </si>
  <si>
    <t>Calstock NDAGMIT NDA</t>
  </si>
  <si>
    <t>Calstock NDAUnion SSMDA</t>
  </si>
  <si>
    <t>Calstock NDAUnion NCDA</t>
  </si>
  <si>
    <t>Calstock NDAUnion CDA</t>
  </si>
  <si>
    <t>Calstock NDAUnion ECDA</t>
  </si>
  <si>
    <t>Calstock NDAUnion EDA</t>
  </si>
  <si>
    <t>Calstock NDAUnion Parkway Belt</t>
  </si>
  <si>
    <t>Calstock NDAEnbridge CDA</t>
  </si>
  <si>
    <t>Calstock NDAEnbridge Parkway CDA</t>
  </si>
  <si>
    <t>Calstock NDAEnbridge EDA</t>
  </si>
  <si>
    <t>Calstock NDAKPUC EDA</t>
  </si>
  <si>
    <t>Calstock NDAGMIT EDA</t>
  </si>
  <si>
    <t>Calstock NDAEnbridge SWDA</t>
  </si>
  <si>
    <t>Calstock NDAUnion SWDA</t>
  </si>
  <si>
    <t>Calstock NDAChippawa</t>
  </si>
  <si>
    <t>Calstock NDACornwall</t>
  </si>
  <si>
    <t>Calstock NDAEast Hereford</t>
  </si>
  <si>
    <t>Calstock NDAEmerson 1</t>
  </si>
  <si>
    <t>Calstock NDAEmerson 2</t>
  </si>
  <si>
    <t>Calstock NDAIroquois</t>
  </si>
  <si>
    <t>Calstock NDAKirkwall</t>
  </si>
  <si>
    <t>Calstock NDANapierville</t>
  </si>
  <si>
    <t>Calstock NDANiagara Falls</t>
  </si>
  <si>
    <t>Calstock NDANorth Bay Junction</t>
  </si>
  <si>
    <t>Calstock NDAPhilipsburg</t>
  </si>
  <si>
    <t>Calstock NDASpruce</t>
  </si>
  <si>
    <t>Calstock NDASt. Clair</t>
  </si>
  <si>
    <t>Calstock NDAWelwyn</t>
  </si>
  <si>
    <t>Calstock NDADawn Export</t>
  </si>
  <si>
    <t>Centram MDAEmpress</t>
  </si>
  <si>
    <t>Centram MDATransGas SSDA</t>
  </si>
  <si>
    <t>Centram MDACentram SSDA</t>
  </si>
  <si>
    <t>Centram MDACentram MDA</t>
  </si>
  <si>
    <t>Centram MDACentrat MDA</t>
  </si>
  <si>
    <t>Centram MDAUnion WDA</t>
  </si>
  <si>
    <t>Centram MDANipigon WDA</t>
  </si>
  <si>
    <t>Centram MDAUnion NDA</t>
  </si>
  <si>
    <t>Centram MDACalstock NDA</t>
  </si>
  <si>
    <t>Centram MDATunis NDA</t>
  </si>
  <si>
    <t>Centram MDAGMIT NDA</t>
  </si>
  <si>
    <t>Centram MDAUnion SSMDA</t>
  </si>
  <si>
    <t>Centram MDAUnion NCDA</t>
  </si>
  <si>
    <t>Centram MDAUnion CDA</t>
  </si>
  <si>
    <t>Centram MDAUnion ECDA</t>
  </si>
  <si>
    <t>Centram MDAUnion EDA</t>
  </si>
  <si>
    <t>Centram MDAUnion Parkway Belt</t>
  </si>
  <si>
    <t>Centram MDAEnbridge CDA</t>
  </si>
  <si>
    <t>Centram MDAEnbridge Parkway CDA</t>
  </si>
  <si>
    <t>Centram MDAEnbridge EDA</t>
  </si>
  <si>
    <t>Centram MDAKPUC EDA</t>
  </si>
  <si>
    <t>Centram MDAGMIT EDA</t>
  </si>
  <si>
    <t>Centram MDAEnbridge SWDA</t>
  </si>
  <si>
    <t>Centram MDAUnion SWDA</t>
  </si>
  <si>
    <t>Centram MDAChippawa</t>
  </si>
  <si>
    <t>Centram MDACornwall</t>
  </si>
  <si>
    <t>Centram MDAEast Hereford</t>
  </si>
  <si>
    <t>Centram MDAEmerson 1</t>
  </si>
  <si>
    <t>Centram MDAEmerson 2</t>
  </si>
  <si>
    <t>Centram MDAIroquois</t>
  </si>
  <si>
    <t>Centram MDAKirkwall</t>
  </si>
  <si>
    <t>Centram MDANapierville</t>
  </si>
  <si>
    <t>Centram MDANiagara Falls</t>
  </si>
  <si>
    <t>Centram MDANorth Bay Junction</t>
  </si>
  <si>
    <t>Centram MDAPhilipsburg</t>
  </si>
  <si>
    <t>Centram MDASpruce</t>
  </si>
  <si>
    <t>Centram MDASt. Clair</t>
  </si>
  <si>
    <t>Centram MDAWelwyn</t>
  </si>
  <si>
    <t>Centram MDADawn Export</t>
  </si>
  <si>
    <t>Centram SSDAEmpress</t>
  </si>
  <si>
    <t>Centram SSDATransGas SSDA</t>
  </si>
  <si>
    <t>Centram SSDACentram SSDA</t>
  </si>
  <si>
    <t>Centram SSDACentram MDA</t>
  </si>
  <si>
    <t>Centram SSDACentrat MDA</t>
  </si>
  <si>
    <t>Centram SSDAUnion WDA</t>
  </si>
  <si>
    <t>Centram SSDANipigon WDA</t>
  </si>
  <si>
    <t>Centram SSDAUnion NDA</t>
  </si>
  <si>
    <t>Centram SSDACalstock NDA</t>
  </si>
  <si>
    <t>Centram SSDATunis NDA</t>
  </si>
  <si>
    <t>Centram SSDAGMIT NDA</t>
  </si>
  <si>
    <t>Centram SSDAUnion SSMDA</t>
  </si>
  <si>
    <t>Centram SSDAUnion NCDA</t>
  </si>
  <si>
    <t>Centram SSDAUnion CDA</t>
  </si>
  <si>
    <t>Centram SSDAUnion ECDA</t>
  </si>
  <si>
    <t>Centram SSDAUnion EDA</t>
  </si>
  <si>
    <t>Centram SSDAUnion Parkway Belt</t>
  </si>
  <si>
    <t>Centram SSDAEnbridge CDA</t>
  </si>
  <si>
    <t>Centram SSDAEnbridge Parkway CDA</t>
  </si>
  <si>
    <t>Centram SSDAEnbridge EDA</t>
  </si>
  <si>
    <t>Centram SSDAKPUC EDA</t>
  </si>
  <si>
    <t>Centram SSDAGMIT EDA</t>
  </si>
  <si>
    <t>Centram SSDAEnbridge SWDA</t>
  </si>
  <si>
    <t>Centram SSDAUnion SWDA</t>
  </si>
  <si>
    <t>Centram SSDAChippawa</t>
  </si>
  <si>
    <t>Centram SSDACornwall</t>
  </si>
  <si>
    <t>Centram SSDAEast Hereford</t>
  </si>
  <si>
    <t>Centram SSDAEmerson 1</t>
  </si>
  <si>
    <t>Centram SSDAEmerson 2</t>
  </si>
  <si>
    <t>Centram SSDAIroquois</t>
  </si>
  <si>
    <t>Centram SSDAKirkwall</t>
  </si>
  <si>
    <t>Centram SSDANapierville</t>
  </si>
  <si>
    <t>Centram SSDANiagara Falls</t>
  </si>
  <si>
    <t>Centram SSDANorth Bay Junction</t>
  </si>
  <si>
    <t>Centram SSDAPhilipsburg</t>
  </si>
  <si>
    <t>Centram SSDASpruce</t>
  </si>
  <si>
    <t>Centram SSDASt. Clair</t>
  </si>
  <si>
    <t>Centram SSDAWelwyn</t>
  </si>
  <si>
    <t>Centram SSDADawn Export</t>
  </si>
  <si>
    <t>Centrat MDAEmpress</t>
  </si>
  <si>
    <t>Centrat MDATransGas SSDA</t>
  </si>
  <si>
    <t>Centrat MDACentram SSDA</t>
  </si>
  <si>
    <t>Centrat MDACentram MDA</t>
  </si>
  <si>
    <t>Centrat MDACentrat MDA</t>
  </si>
  <si>
    <t>Centrat MDAUnion WDA</t>
  </si>
  <si>
    <t>Centrat MDANipigon WDA</t>
  </si>
  <si>
    <t>Centrat MDAUnion NDA</t>
  </si>
  <si>
    <t>Centrat MDACalstock NDA</t>
  </si>
  <si>
    <t>Centrat MDATunis NDA</t>
  </si>
  <si>
    <t>Centrat MDAGMIT NDA</t>
  </si>
  <si>
    <t>Centrat MDAUnion SSMDA</t>
  </si>
  <si>
    <t>Centrat MDAUnion NCDA</t>
  </si>
  <si>
    <t>Centrat MDAUnion CDA</t>
  </si>
  <si>
    <t>Centrat MDAUnion ECDA</t>
  </si>
  <si>
    <t>Centrat MDAUnion EDA</t>
  </si>
  <si>
    <t>Centrat MDAUnion Parkway Belt</t>
  </si>
  <si>
    <t>Centrat MDAEnbridge CDA</t>
  </si>
  <si>
    <t>Centrat MDAEnbridge Parkway CDA</t>
  </si>
  <si>
    <t>Centrat MDAEnbridge EDA</t>
  </si>
  <si>
    <t>Centrat MDAKPUC EDA</t>
  </si>
  <si>
    <t>Centrat MDAGMIT EDA</t>
  </si>
  <si>
    <t>Centrat MDAEnbridge SWDA</t>
  </si>
  <si>
    <t>Centrat MDAUnion SWDA</t>
  </si>
  <si>
    <t>Centrat MDAChippawa</t>
  </si>
  <si>
    <t>Centrat MDACornwall</t>
  </si>
  <si>
    <t>Centrat MDAEast Hereford</t>
  </si>
  <si>
    <t>Centrat MDAEmerson 1</t>
  </si>
  <si>
    <t>Centrat MDAEmerson 2</t>
  </si>
  <si>
    <t>Centrat MDAIroquois</t>
  </si>
  <si>
    <t>Centrat MDAKirkwall</t>
  </si>
  <si>
    <t>Centrat MDANapierville</t>
  </si>
  <si>
    <t>Centrat MDANiagara Falls</t>
  </si>
  <si>
    <t>Centrat MDANorth Bay Junction</t>
  </si>
  <si>
    <t>Centrat MDAPhilipsburg</t>
  </si>
  <si>
    <t>Centrat MDASpruce</t>
  </si>
  <si>
    <t>Centrat MDASt. Clair</t>
  </si>
  <si>
    <t>Centrat MDAWelwyn</t>
  </si>
  <si>
    <t>Centrat MDADawn Export</t>
  </si>
  <si>
    <t>ChippawaEmpress</t>
  </si>
  <si>
    <t>ChippawaTransGas SSDA</t>
  </si>
  <si>
    <t>ChippawaCentram SSDA</t>
  </si>
  <si>
    <t>ChippawaCentram MDA</t>
  </si>
  <si>
    <t>ChippawaCentrat MDA</t>
  </si>
  <si>
    <t>ChippawaUnion WDA</t>
  </si>
  <si>
    <t>ChippawaNipigon WDA</t>
  </si>
  <si>
    <t>ChippawaUnion NDA</t>
  </si>
  <si>
    <t>ChippawaCalstock NDA</t>
  </si>
  <si>
    <t>ChippawaTunis NDA</t>
  </si>
  <si>
    <t>ChippawaGMIT NDA</t>
  </si>
  <si>
    <t>ChippawaUnion SSMDA</t>
  </si>
  <si>
    <t>ChippawaUnion NCDA</t>
  </si>
  <si>
    <t>ChippawaUnion CDA</t>
  </si>
  <si>
    <t>ChippawaUnion ECDA</t>
  </si>
  <si>
    <t>ChippawaUnion EDA</t>
  </si>
  <si>
    <t>ChippawaUnion Parkway Belt</t>
  </si>
  <si>
    <t>ChippawaEnbridge CDA</t>
  </si>
  <si>
    <t>ChippawaEnbridge Parkway CDA</t>
  </si>
  <si>
    <t>ChippawaEnbridge EDA</t>
  </si>
  <si>
    <t>ChippawaKPUC EDA</t>
  </si>
  <si>
    <t>ChippawaGMIT EDA</t>
  </si>
  <si>
    <t>ChippawaEnbridge SWDA</t>
  </si>
  <si>
    <t>ChippawaUnion SWDA</t>
  </si>
  <si>
    <t>ChippawaChippawa</t>
  </si>
  <si>
    <t>ChippawaCornwall</t>
  </si>
  <si>
    <t>ChippawaEast Hereford</t>
  </si>
  <si>
    <t>ChippawaEmerson 1</t>
  </si>
  <si>
    <t>ChippawaEmerson 2</t>
  </si>
  <si>
    <t>ChippawaIroquois</t>
  </si>
  <si>
    <t>ChippawaKirkwall</t>
  </si>
  <si>
    <t>ChippawaNapierville</t>
  </si>
  <si>
    <t>ChippawaNiagara Falls</t>
  </si>
  <si>
    <t>ChippawaNorth Bay Junction</t>
  </si>
  <si>
    <t>ChippawaPhilipsburg</t>
  </si>
  <si>
    <t>ChippawaSpruce</t>
  </si>
  <si>
    <t>ChippawaSt. Clair</t>
  </si>
  <si>
    <t>ChippawaWelwyn</t>
  </si>
  <si>
    <t>ChippawaDawn Export</t>
  </si>
  <si>
    <t>CornwallEmpress</t>
  </si>
  <si>
    <t>CornwallTransGas SSDA</t>
  </si>
  <si>
    <t>CornwallCentram SSDA</t>
  </si>
  <si>
    <t>CornwallCentram MDA</t>
  </si>
  <si>
    <t>CornwallCentrat MDA</t>
  </si>
  <si>
    <t>CornwallUnion WDA</t>
  </si>
  <si>
    <t>CornwallNipigon WDA</t>
  </si>
  <si>
    <t>CornwallUnion NDA</t>
  </si>
  <si>
    <t>CornwallCalstock NDA</t>
  </si>
  <si>
    <t>CornwallTunis NDA</t>
  </si>
  <si>
    <t>CornwallGMIT NDA</t>
  </si>
  <si>
    <t>CornwallUnion SSMDA</t>
  </si>
  <si>
    <t>CornwallUnion NCDA</t>
  </si>
  <si>
    <t>CornwallUnion CDA</t>
  </si>
  <si>
    <t>CornwallUnion ECDA</t>
  </si>
  <si>
    <t>CornwallUnion EDA</t>
  </si>
  <si>
    <t>CornwallUnion Parkway Belt</t>
  </si>
  <si>
    <t>CornwallEnbridge CDA</t>
  </si>
  <si>
    <t>CornwallEnbridge Parkway CDA</t>
  </si>
  <si>
    <t>CornwallEnbridge EDA</t>
  </si>
  <si>
    <t>CornwallKPUC EDA</t>
  </si>
  <si>
    <t>CornwallGMIT EDA</t>
  </si>
  <si>
    <t>CornwallEnbridge SWDA</t>
  </si>
  <si>
    <t>CornwallUnion SWDA</t>
  </si>
  <si>
    <t>CornwallChippawa</t>
  </si>
  <si>
    <t>CornwallCornwall</t>
  </si>
  <si>
    <t>CornwallEast Hereford</t>
  </si>
  <si>
    <t>CornwallEmerson 1</t>
  </si>
  <si>
    <t>CornwallEmerson 2</t>
  </si>
  <si>
    <t>CornwallIroquois</t>
  </si>
  <si>
    <t>CornwallKirkwall</t>
  </si>
  <si>
    <t>CornwallNapierville</t>
  </si>
  <si>
    <t>CornwallNiagara Falls</t>
  </si>
  <si>
    <t>CornwallNorth Bay Junction</t>
  </si>
  <si>
    <t>CornwallPhilipsburg</t>
  </si>
  <si>
    <t>CornwallSpruce</t>
  </si>
  <si>
    <t>CornwallSt. Clair</t>
  </si>
  <si>
    <t>CornwallWelwyn</t>
  </si>
  <si>
    <t>CornwallDawn Export</t>
  </si>
  <si>
    <t>East HerefordEmpress</t>
  </si>
  <si>
    <t>East HerefordTransGas SSDA</t>
  </si>
  <si>
    <t>East HerefordCentram SSDA</t>
  </si>
  <si>
    <t>East HerefordCentram MDA</t>
  </si>
  <si>
    <t>East HerefordCentrat MDA</t>
  </si>
  <si>
    <t>East HerefordUnion WDA</t>
  </si>
  <si>
    <t>East HerefordNipigon WDA</t>
  </si>
  <si>
    <t>East HerefordUnion NDA</t>
  </si>
  <si>
    <t>East HerefordCalstock NDA</t>
  </si>
  <si>
    <t>East HerefordTunis NDA</t>
  </si>
  <si>
    <t>East HerefordGMIT NDA</t>
  </si>
  <si>
    <t>East HerefordUnion SSMDA</t>
  </si>
  <si>
    <t>East HerefordUnion NCDA</t>
  </si>
  <si>
    <t>East HerefordUnion CDA</t>
  </si>
  <si>
    <t>East HerefordUnion ECDA</t>
  </si>
  <si>
    <t>East HerefordUnion EDA</t>
  </si>
  <si>
    <t>East HerefordUnion Parkway Belt</t>
  </si>
  <si>
    <t>East HerefordEnbridge CDA</t>
  </si>
  <si>
    <t>East HerefordEnbridge Parkway CDA</t>
  </si>
  <si>
    <t>East HerefordEnbridge EDA</t>
  </si>
  <si>
    <t>East HerefordKPUC EDA</t>
  </si>
  <si>
    <t>East HerefordGMIT EDA</t>
  </si>
  <si>
    <t>East HerefordEnbridge SWDA</t>
  </si>
  <si>
    <t>East HerefordUnion SWDA</t>
  </si>
  <si>
    <t>East HerefordChippawa</t>
  </si>
  <si>
    <t>East HerefordCornwall</t>
  </si>
  <si>
    <t>East HerefordEast Hereford</t>
  </si>
  <si>
    <t>East HerefordEmerson 1</t>
  </si>
  <si>
    <t>East HerefordEmerson 2</t>
  </si>
  <si>
    <t>East HerefordIroquois</t>
  </si>
  <si>
    <t>East HerefordKirkwall</t>
  </si>
  <si>
    <t>East HerefordNapierville</t>
  </si>
  <si>
    <t>East HerefordNiagara Falls</t>
  </si>
  <si>
    <t>East HerefordNorth Bay Junction</t>
  </si>
  <si>
    <t>East HerefordPhilipsburg</t>
  </si>
  <si>
    <t>East HerefordSpruce</t>
  </si>
  <si>
    <t>East HerefordSt. Clair</t>
  </si>
  <si>
    <t>East HerefordWelwyn</t>
  </si>
  <si>
    <t>East HerefordDawn Export</t>
  </si>
  <si>
    <t>Emerson 1Empress</t>
  </si>
  <si>
    <t>Emerson 1TransGas SSDA</t>
  </si>
  <si>
    <t>Emerson 1Centram SSDA</t>
  </si>
  <si>
    <t>Emerson 1Centram MDA</t>
  </si>
  <si>
    <t>Emerson 1Centrat MDA</t>
  </si>
  <si>
    <t>Emerson 1Union WDA</t>
  </si>
  <si>
    <t>Emerson 1Nipigon WDA</t>
  </si>
  <si>
    <t>Emerson 1Union NDA</t>
  </si>
  <si>
    <t>Emerson 1Calstock NDA</t>
  </si>
  <si>
    <t>Emerson 1Tunis NDA</t>
  </si>
  <si>
    <t>Emerson 1GMIT NDA</t>
  </si>
  <si>
    <t>Emerson 1Union SSMDA</t>
  </si>
  <si>
    <t>Emerson 1Union NCDA</t>
  </si>
  <si>
    <t>Emerson 1Union CDA</t>
  </si>
  <si>
    <t>Emerson 1Union ECDA</t>
  </si>
  <si>
    <t>Emerson 1Union EDA</t>
  </si>
  <si>
    <t>Emerson 1Union Parkway Belt</t>
  </si>
  <si>
    <t>Emerson 1Enbridge CDA</t>
  </si>
  <si>
    <t>Emerson 1Enbridge Parkway CDA</t>
  </si>
  <si>
    <t>Emerson 1Enbridge EDA</t>
  </si>
  <si>
    <t>Emerson 1KPUC EDA</t>
  </si>
  <si>
    <t>Emerson 1GMIT EDA</t>
  </si>
  <si>
    <t>Emerson 1Enbridge SWDA</t>
  </si>
  <si>
    <t>Emerson 1Union SWDA</t>
  </si>
  <si>
    <t>Emerson 1Chippawa</t>
  </si>
  <si>
    <t>Emerson 1Cornwall</t>
  </si>
  <si>
    <t>Emerson 1East Hereford</t>
  </si>
  <si>
    <t>Emerson 1Emerson 1</t>
  </si>
  <si>
    <t>Emerson 1Emerson 2</t>
  </si>
  <si>
    <t>Emerson 1Iroquois</t>
  </si>
  <si>
    <t>Emerson 1Kirkwall</t>
  </si>
  <si>
    <t>Emerson 1Napierville</t>
  </si>
  <si>
    <t>Emerson 1Niagara Falls</t>
  </si>
  <si>
    <t>Emerson 1North Bay Junction</t>
  </si>
  <si>
    <t>Emerson 1Philipsburg</t>
  </si>
  <si>
    <t>Emerson 1Spruce</t>
  </si>
  <si>
    <t>Emerson 1St. Clair</t>
  </si>
  <si>
    <t>Emerson 1Welwyn</t>
  </si>
  <si>
    <t>Emerson 1Dawn Export</t>
  </si>
  <si>
    <t>Emerson 2Empress</t>
  </si>
  <si>
    <t>Emerson 2TransGas SSDA</t>
  </si>
  <si>
    <t>Emerson 2Centram SSDA</t>
  </si>
  <si>
    <t>Emerson 2Centram MDA</t>
  </si>
  <si>
    <t>Emerson 2Centrat MDA</t>
  </si>
  <si>
    <t>Emerson 2Union WDA</t>
  </si>
  <si>
    <t>Emerson 2Nipigon WDA</t>
  </si>
  <si>
    <t>Emerson 2Union NDA</t>
  </si>
  <si>
    <t>Emerson 2Calstock NDA</t>
  </si>
  <si>
    <t>Emerson 2Tunis NDA</t>
  </si>
  <si>
    <t>Emerson 2GMIT NDA</t>
  </si>
  <si>
    <t>Emerson 2Union SSMDA</t>
  </si>
  <si>
    <t>Emerson 2Union NCDA</t>
  </si>
  <si>
    <t>Emerson 2Union CDA</t>
  </si>
  <si>
    <t>Emerson 2Union ECDA</t>
  </si>
  <si>
    <t>Emerson 2Union EDA</t>
  </si>
  <si>
    <t>Emerson 2Union Parkway Belt</t>
  </si>
  <si>
    <t>Emerson 2Enbridge CDA</t>
  </si>
  <si>
    <t>Emerson 2Enbridge Parkway CDA</t>
  </si>
  <si>
    <t>Emerson 2Enbridge EDA</t>
  </si>
  <si>
    <t>Emerson 2KPUC EDA</t>
  </si>
  <si>
    <t>Emerson 2GMIT EDA</t>
  </si>
  <si>
    <t>Emerson 2Enbridge SWDA</t>
  </si>
  <si>
    <t>Emerson 2Union SWDA</t>
  </si>
  <si>
    <t>Emerson 2Chippawa</t>
  </si>
  <si>
    <t>Emerson 2Cornwall</t>
  </si>
  <si>
    <t>Emerson 2East Hereford</t>
  </si>
  <si>
    <t>Emerson 2Emerson 1</t>
  </si>
  <si>
    <t>Emerson 2Emerson 2</t>
  </si>
  <si>
    <t>Emerson 2Iroquois</t>
  </si>
  <si>
    <t>Emerson 2Kirkwall</t>
  </si>
  <si>
    <t>Emerson 2Napierville</t>
  </si>
  <si>
    <t>Emerson 2Niagara Falls</t>
  </si>
  <si>
    <t>Emerson 2North Bay Junction</t>
  </si>
  <si>
    <t>Emerson 2Philipsburg</t>
  </si>
  <si>
    <t>Emerson 2Spruce</t>
  </si>
  <si>
    <t>Emerson 2St. Clair</t>
  </si>
  <si>
    <t>Emerson 2Welwyn</t>
  </si>
  <si>
    <t>Emerson 2Dawn Export</t>
  </si>
  <si>
    <t>Enbridge Parkway CDAEmpress</t>
  </si>
  <si>
    <t>Enbridge Parkway CDATransGas SSDA</t>
  </si>
  <si>
    <t>Enbridge Parkway CDACentram SSDA</t>
  </si>
  <si>
    <t>Enbridge Parkway CDACentram MDA</t>
  </si>
  <si>
    <t>Enbridge Parkway CDACentrat MDA</t>
  </si>
  <si>
    <t>Enbridge Parkway CDAUnion WDA</t>
  </si>
  <si>
    <t>Enbridge Parkway CDANipigon WDA</t>
  </si>
  <si>
    <t>Enbridge Parkway CDAUnion NDA</t>
  </si>
  <si>
    <t>Enbridge Parkway CDACalstock NDA</t>
  </si>
  <si>
    <t>Enbridge Parkway CDATunis NDA</t>
  </si>
  <si>
    <t>Enbridge Parkway CDAGMIT NDA</t>
  </si>
  <si>
    <t>Enbridge Parkway CDAUnion SSMDA</t>
  </si>
  <si>
    <t>Enbridge Parkway CDAUnion NCDA</t>
  </si>
  <si>
    <t>Enbridge Parkway CDAUnion CDA</t>
  </si>
  <si>
    <t>Enbridge Parkway CDAUnion ECDA</t>
  </si>
  <si>
    <t>Enbridge Parkway CDAUnion EDA</t>
  </si>
  <si>
    <t>Enbridge Parkway CDAUnion Parkway Belt</t>
  </si>
  <si>
    <t>Enbridge Parkway CDAEnbridge CDA</t>
  </si>
  <si>
    <t>Enbridge Parkway CDAEnbridge Parkway CDA</t>
  </si>
  <si>
    <t>Enbridge Parkway CDAEnbridge EDA</t>
  </si>
  <si>
    <t>Enbridge Parkway CDAKPUC EDA</t>
  </si>
  <si>
    <t>Enbridge Parkway CDAGMIT EDA</t>
  </si>
  <si>
    <t>Enbridge Parkway CDAEnbridge SWDA</t>
  </si>
  <si>
    <t>Enbridge Parkway CDAUnion SWDA</t>
  </si>
  <si>
    <t>Enbridge Parkway CDAChippawa</t>
  </si>
  <si>
    <t>Enbridge Parkway CDACornwall</t>
  </si>
  <si>
    <t>Enbridge Parkway CDAEast Hereford</t>
  </si>
  <si>
    <t>Enbridge Parkway CDAEmerson 1</t>
  </si>
  <si>
    <t>Enbridge Parkway CDAEmerson 2</t>
  </si>
  <si>
    <t>Enbridge Parkway CDAIroquois</t>
  </si>
  <si>
    <t>Enbridge Parkway CDAKirkwall</t>
  </si>
  <si>
    <t>Enbridge Parkway CDANapierville</t>
  </si>
  <si>
    <t>Enbridge Parkway CDANiagara Falls</t>
  </si>
  <si>
    <t>Enbridge Parkway CDANorth Bay Junction</t>
  </si>
  <si>
    <t>Enbridge Parkway CDAPhilipsburg</t>
  </si>
  <si>
    <t>Enbridge Parkway CDASpruce</t>
  </si>
  <si>
    <t>Enbridge Parkway CDASt. Clair</t>
  </si>
  <si>
    <t>Enbridge Parkway CDAWelwyn</t>
  </si>
  <si>
    <t>Enbridge Parkway CDADawn Export</t>
  </si>
  <si>
    <t>Enbridge CDAEmpress</t>
  </si>
  <si>
    <t>Enbridge CDATransGas SSDA</t>
  </si>
  <si>
    <t>Enbridge CDACentram SSDA</t>
  </si>
  <si>
    <t>Enbridge CDACentram MDA</t>
  </si>
  <si>
    <t>Enbridge CDACentrat MDA</t>
  </si>
  <si>
    <t>Enbridge CDAUnion WDA</t>
  </si>
  <si>
    <t>Enbridge CDANipigon WDA</t>
  </si>
  <si>
    <t>Enbridge CDAUnion NDA</t>
  </si>
  <si>
    <t>Enbridge CDACalstock NDA</t>
  </si>
  <si>
    <t>Enbridge CDATunis NDA</t>
  </si>
  <si>
    <t>Enbridge CDAGMIT NDA</t>
  </si>
  <si>
    <t>Enbridge CDAUnion SSMDA</t>
  </si>
  <si>
    <t>Enbridge CDAUnion NCDA</t>
  </si>
  <si>
    <t>Enbridge CDAUnion CDA</t>
  </si>
  <si>
    <t>Enbridge CDAUnion ECDA</t>
  </si>
  <si>
    <t>Enbridge CDAUnion EDA</t>
  </si>
  <si>
    <t>Enbridge CDAUnion Parkway Belt</t>
  </si>
  <si>
    <t>Enbridge CDAEnbridge CDA</t>
  </si>
  <si>
    <t>Enbridge CDAEnbridge Parkway CDA</t>
  </si>
  <si>
    <t>Enbridge CDAEnbridge EDA</t>
  </si>
  <si>
    <t>Enbridge CDAKPUC EDA</t>
  </si>
  <si>
    <t>Enbridge CDAGMIT EDA</t>
  </si>
  <si>
    <t>Enbridge CDAEnbridge SWDA</t>
  </si>
  <si>
    <t>Enbridge CDAUnion SWDA</t>
  </si>
  <si>
    <t>Enbridge CDAChippawa</t>
  </si>
  <si>
    <t>Enbridge CDACornwall</t>
  </si>
  <si>
    <t>Enbridge CDAEast Hereford</t>
  </si>
  <si>
    <t>Enbridge CDAEmerson 1</t>
  </si>
  <si>
    <t>Enbridge CDAEmerson 2</t>
  </si>
  <si>
    <t>Enbridge CDAIroquois</t>
  </si>
  <si>
    <t>Enbridge CDAKirkwall</t>
  </si>
  <si>
    <t>Enbridge CDANapierville</t>
  </si>
  <si>
    <t>Enbridge CDANiagara Falls</t>
  </si>
  <si>
    <t>Enbridge CDANorth Bay Junction</t>
  </si>
  <si>
    <t>Enbridge CDAPhilipsburg</t>
  </si>
  <si>
    <t>Enbridge CDASpruce</t>
  </si>
  <si>
    <t>Enbridge CDASt. Clair</t>
  </si>
  <si>
    <t>Enbridge CDAWelwyn</t>
  </si>
  <si>
    <t>Enbridge CDADawn Export</t>
  </si>
  <si>
    <t>Enbridge EDAEmpress</t>
  </si>
  <si>
    <t>Enbridge EDATransGas SSDA</t>
  </si>
  <si>
    <t>Enbridge EDACentram SSDA</t>
  </si>
  <si>
    <t>Enbridge EDACentram MDA</t>
  </si>
  <si>
    <t>Enbridge EDACentrat MDA</t>
  </si>
  <si>
    <t>Enbridge EDAUnion WDA</t>
  </si>
  <si>
    <t>Enbridge EDANipigon WDA</t>
  </si>
  <si>
    <t>Enbridge EDAUnion NDA</t>
  </si>
  <si>
    <t>Enbridge EDACalstock NDA</t>
  </si>
  <si>
    <t>Enbridge EDATunis NDA</t>
  </si>
  <si>
    <t>Enbridge EDAGMIT NDA</t>
  </si>
  <si>
    <t>Enbridge EDAUnion SSMDA</t>
  </si>
  <si>
    <t>Enbridge EDAUnion NCDA</t>
  </si>
  <si>
    <t>Enbridge EDAUnion CDA</t>
  </si>
  <si>
    <t>Enbridge EDAUnion ECDA</t>
  </si>
  <si>
    <t>Enbridge EDAUnion EDA</t>
  </si>
  <si>
    <t>Enbridge EDAUnion Parkway Belt</t>
  </si>
  <si>
    <t>Enbridge EDAEnbridge CDA</t>
  </si>
  <si>
    <t>Enbridge EDAEnbridge Parkway CDA</t>
  </si>
  <si>
    <t>Enbridge EDAEnbridge EDA</t>
  </si>
  <si>
    <t>Enbridge EDAKPUC EDA</t>
  </si>
  <si>
    <t>Enbridge EDAGMIT EDA</t>
  </si>
  <si>
    <t>Enbridge EDAEnbridge SWDA</t>
  </si>
  <si>
    <t>Enbridge EDAUnion SWDA</t>
  </si>
  <si>
    <t>Enbridge EDAChippawa</t>
  </si>
  <si>
    <t>Enbridge EDACornwall</t>
  </si>
  <si>
    <t>Enbridge EDAEast Hereford</t>
  </si>
  <si>
    <t>Enbridge EDAEmerson 1</t>
  </si>
  <si>
    <t>Enbridge EDAEmerson 2</t>
  </si>
  <si>
    <t>Enbridge EDAIroquois</t>
  </si>
  <si>
    <t>Enbridge EDAKirkwall</t>
  </si>
  <si>
    <t>Enbridge EDANapierville</t>
  </si>
  <si>
    <t>Enbridge EDANiagara Falls</t>
  </si>
  <si>
    <t>Enbridge EDANorth Bay Junction</t>
  </si>
  <si>
    <t>Enbridge EDAPhilipsburg</t>
  </si>
  <si>
    <t>Enbridge EDASpruce</t>
  </si>
  <si>
    <t>Enbridge EDASt. Clair</t>
  </si>
  <si>
    <t>Enbridge EDAWelwyn</t>
  </si>
  <si>
    <t>Enbridge EDADawn Export</t>
  </si>
  <si>
    <t>GMIT EDAEmpress</t>
  </si>
  <si>
    <t>GMIT EDATransGas SSDA</t>
  </si>
  <si>
    <t>GMIT EDACentram SSDA</t>
  </si>
  <si>
    <t>GMIT EDACentram MDA</t>
  </si>
  <si>
    <t>GMIT EDACentrat MDA</t>
  </si>
  <si>
    <t>GMIT EDAUnion WDA</t>
  </si>
  <si>
    <t>GMIT EDANipigon WDA</t>
  </si>
  <si>
    <t>GMIT EDAUnion NDA</t>
  </si>
  <si>
    <t>GMIT EDACalstock NDA</t>
  </si>
  <si>
    <t>GMIT EDATunis NDA</t>
  </si>
  <si>
    <t>GMIT EDAGMIT NDA</t>
  </si>
  <si>
    <t>GMIT EDAUnion SSMDA</t>
  </si>
  <si>
    <t>GMIT EDAUnion NCDA</t>
  </si>
  <si>
    <t>GMIT EDAUnion CDA</t>
  </si>
  <si>
    <t>GMIT EDAUnion ECDA</t>
  </si>
  <si>
    <t>GMIT EDAUnion EDA</t>
  </si>
  <si>
    <t>GMIT EDAUnion Parkway Belt</t>
  </si>
  <si>
    <t>GMIT EDAEnbridge CDA</t>
  </si>
  <si>
    <t>GMIT EDAEnbridge Parkway CDA</t>
  </si>
  <si>
    <t>GMIT EDAEnbridge EDA</t>
  </si>
  <si>
    <t>GMIT EDAKPUC EDA</t>
  </si>
  <si>
    <t>GMIT EDAGMIT EDA</t>
  </si>
  <si>
    <t>GMIT EDAEnbridge SWDA</t>
  </si>
  <si>
    <t>GMIT EDAUnion SWDA</t>
  </si>
  <si>
    <t>GMIT EDAChippawa</t>
  </si>
  <si>
    <t>GMIT EDACornwall</t>
  </si>
  <si>
    <t>GMIT EDAEast Hereford</t>
  </si>
  <si>
    <t>GMIT EDAEmerson 1</t>
  </si>
  <si>
    <t>GMIT EDAEmerson 2</t>
  </si>
  <si>
    <t>GMIT EDAIroquois</t>
  </si>
  <si>
    <t>GMIT EDAKirkwall</t>
  </si>
  <si>
    <t>GMIT EDANapierville</t>
  </si>
  <si>
    <t>GMIT EDANiagara Falls</t>
  </si>
  <si>
    <t>GMIT EDANorth Bay Junction</t>
  </si>
  <si>
    <t>GMIT EDAPhilipsburg</t>
  </si>
  <si>
    <t>GMIT EDASpruce</t>
  </si>
  <si>
    <t>GMIT EDASt. Clair</t>
  </si>
  <si>
    <t>GMIT EDAWelwyn</t>
  </si>
  <si>
    <t>GMIT EDADawn Export</t>
  </si>
  <si>
    <t>GMIT NDAEmpress</t>
  </si>
  <si>
    <t>GMIT NDATransGas SSDA</t>
  </si>
  <si>
    <t>GMIT NDACentram SSDA</t>
  </si>
  <si>
    <t>GMIT NDACentram MDA</t>
  </si>
  <si>
    <t>GMIT NDACentrat MDA</t>
  </si>
  <si>
    <t>GMIT NDAUnion WDA</t>
  </si>
  <si>
    <t>GMIT NDANipigon WDA</t>
  </si>
  <si>
    <t>GMIT NDAUnion NDA</t>
  </si>
  <si>
    <t>GMIT NDACalstock NDA</t>
  </si>
  <si>
    <t>GMIT NDATunis NDA</t>
  </si>
  <si>
    <t>GMIT NDAGMIT NDA</t>
  </si>
  <si>
    <t>GMIT NDAUnion SSMDA</t>
  </si>
  <si>
    <t>GMIT NDAUnion NCDA</t>
  </si>
  <si>
    <t>GMIT NDAUnion CDA</t>
  </si>
  <si>
    <t>GMIT NDAUnion ECDA</t>
  </si>
  <si>
    <t>GMIT NDAUnion EDA</t>
  </si>
  <si>
    <t>GMIT NDAUnion Parkway Belt</t>
  </si>
  <si>
    <t>GMIT NDAEnbridge CDA</t>
  </si>
  <si>
    <t>GMIT NDAEnbridge Parkway CDA</t>
  </si>
  <si>
    <t>GMIT NDAEnbridge EDA</t>
  </si>
  <si>
    <t>GMIT NDAKPUC EDA</t>
  </si>
  <si>
    <t>GMIT NDAGMIT EDA</t>
  </si>
  <si>
    <t>GMIT NDAEnbridge SWDA</t>
  </si>
  <si>
    <t>GMIT NDAUnion SWDA</t>
  </si>
  <si>
    <t>GMIT NDAChippawa</t>
  </si>
  <si>
    <t>GMIT NDACornwall</t>
  </si>
  <si>
    <t>GMIT NDAEast Hereford</t>
  </si>
  <si>
    <t>GMIT NDAEmerson 1</t>
  </si>
  <si>
    <t>GMIT NDAEmerson 2</t>
  </si>
  <si>
    <t>GMIT NDAIroquois</t>
  </si>
  <si>
    <t>GMIT NDAKirkwall</t>
  </si>
  <si>
    <t>GMIT NDANapierville</t>
  </si>
  <si>
    <t>GMIT NDANiagara Falls</t>
  </si>
  <si>
    <t>GMIT NDANorth Bay Junction</t>
  </si>
  <si>
    <t>GMIT NDAPhilipsburg</t>
  </si>
  <si>
    <t>GMIT NDASpruce</t>
  </si>
  <si>
    <t>GMIT NDASt. Clair</t>
  </si>
  <si>
    <t>GMIT NDAWelwyn</t>
  </si>
  <si>
    <t>GMIT NDADawn Export</t>
  </si>
  <si>
    <t>Grand CouleeEmpress</t>
  </si>
  <si>
    <t>Grand CouleeTransGas SSDA</t>
  </si>
  <si>
    <t>Grand CouleeCentram SSDA</t>
  </si>
  <si>
    <t>Grand CouleeCentram MDA</t>
  </si>
  <si>
    <t>Grand CouleeCentrat MDA</t>
  </si>
  <si>
    <t>Grand CouleeUnion WDA</t>
  </si>
  <si>
    <t>Grand CouleeNipigon WDA</t>
  </si>
  <si>
    <t>Grand CouleeUnion NDA</t>
  </si>
  <si>
    <t>Grand CouleeCalstock NDA</t>
  </si>
  <si>
    <t>Grand CouleeTunis NDA</t>
  </si>
  <si>
    <t>Grand CouleeGMIT NDA</t>
  </si>
  <si>
    <t>Grand CouleeUnion SSMDA</t>
  </si>
  <si>
    <t>Grand CouleeUnion NCDA</t>
  </si>
  <si>
    <t>Grand CouleeUnion CDA</t>
  </si>
  <si>
    <t>Grand CouleeUnion ECDA</t>
  </si>
  <si>
    <t>Grand CouleeUnion EDA</t>
  </si>
  <si>
    <t>Grand CouleeUnion Parkway Belt</t>
  </si>
  <si>
    <t>Grand CouleeEnbridge CDA</t>
  </si>
  <si>
    <t>Grand CouleeEnbridge Parkway CDA</t>
  </si>
  <si>
    <t>Grand CouleeEnbridge EDA</t>
  </si>
  <si>
    <t>Grand CouleeKPUC EDA</t>
  </si>
  <si>
    <t>Grand CouleeGMIT EDA</t>
  </si>
  <si>
    <t>Grand CouleeEnbridge SWDA</t>
  </si>
  <si>
    <t>Grand CouleeUnion SWDA</t>
  </si>
  <si>
    <t>Grand CouleeChippawa</t>
  </si>
  <si>
    <t>Grand CouleeCornwall</t>
  </si>
  <si>
    <t>Grand CouleeEast Hereford</t>
  </si>
  <si>
    <t>Grand CouleeEmerson 1</t>
  </si>
  <si>
    <t>Grand CouleeEmerson 2</t>
  </si>
  <si>
    <t>Grand CouleeIroquois</t>
  </si>
  <si>
    <t>Grand CouleeKirkwall</t>
  </si>
  <si>
    <t>Grand CouleeNapierville</t>
  </si>
  <si>
    <t>Grand CouleeNiagara Falls</t>
  </si>
  <si>
    <t>Grand CouleeNorth Bay Junction</t>
  </si>
  <si>
    <t>Grand CouleePhilipsburg</t>
  </si>
  <si>
    <t>Grand CouleeSpruce</t>
  </si>
  <si>
    <t>Grand CouleeSt. Clair</t>
  </si>
  <si>
    <t>Grand CouleeWelwyn</t>
  </si>
  <si>
    <t>Grand CouleeDawn Export</t>
  </si>
  <si>
    <t>Grand Coulee WestEmpress</t>
  </si>
  <si>
    <t>Grand Coulee WestTransGas SSDA</t>
  </si>
  <si>
    <t>Grand Coulee WestCentram SSDA</t>
  </si>
  <si>
    <t>Grand Coulee WestCentram MDA</t>
  </si>
  <si>
    <t>Grand Coulee WestCentrat MDA</t>
  </si>
  <si>
    <t>Grand Coulee WestUnion WDA</t>
  </si>
  <si>
    <t>Grand Coulee WestNipigon WDA</t>
  </si>
  <si>
    <t>Grand Coulee WestUnion NDA</t>
  </si>
  <si>
    <t>Grand Coulee WestCalstock NDA</t>
  </si>
  <si>
    <t>Grand Coulee WestTunis NDA</t>
  </si>
  <si>
    <t>Grand Coulee WestGMIT NDA</t>
  </si>
  <si>
    <t>Grand Coulee WestUnion SSMDA</t>
  </si>
  <si>
    <t>Grand Coulee WestUnion NCDA</t>
  </si>
  <si>
    <t>Grand Coulee WestUnion CDA</t>
  </si>
  <si>
    <t>Grand Coulee WestUnion ECDA</t>
  </si>
  <si>
    <t>Grand Coulee WestUnion EDA</t>
  </si>
  <si>
    <t>Grand Coulee WestUnion Parkway Belt</t>
  </si>
  <si>
    <t>Grand Coulee WestEnbridge CDA</t>
  </si>
  <si>
    <t>Grand Coulee WestEnbridge Parkway CDA</t>
  </si>
  <si>
    <t>Grand Coulee WestEnbridge EDA</t>
  </si>
  <si>
    <t>Grand Coulee WestKPUC EDA</t>
  </si>
  <si>
    <t>Grand Coulee WestGMIT EDA</t>
  </si>
  <si>
    <t>Grand Coulee WestEnbridge SWDA</t>
  </si>
  <si>
    <t>Grand Coulee WestUnion SWDA</t>
  </si>
  <si>
    <t>Grand Coulee WestChippawa</t>
  </si>
  <si>
    <t>Grand Coulee WestCornwall</t>
  </si>
  <si>
    <t>Grand Coulee WestEast Hereford</t>
  </si>
  <si>
    <t>Grand Coulee WestEmerson 1</t>
  </si>
  <si>
    <t>Grand Coulee WestEmerson 2</t>
  </si>
  <si>
    <t>Grand Coulee WestIroquois</t>
  </si>
  <si>
    <t>Grand Coulee WestKirkwall</t>
  </si>
  <si>
    <t>Grand Coulee WestNapierville</t>
  </si>
  <si>
    <t>Grand Coulee WestNiagara Falls</t>
  </si>
  <si>
    <t>Grand Coulee WestNorth Bay Junction</t>
  </si>
  <si>
    <t>Grand Coulee WestPhilipsburg</t>
  </si>
  <si>
    <t>Grand Coulee WestSpruce</t>
  </si>
  <si>
    <t>Grand Coulee WestSt. Clair</t>
  </si>
  <si>
    <t>Grand Coulee WestWelwyn</t>
  </si>
  <si>
    <t>Grand Coulee WestDawn Export</t>
  </si>
  <si>
    <t>HerbertEmpress</t>
  </si>
  <si>
    <t>HerbertTransGas SSDA</t>
  </si>
  <si>
    <t>HerbertCentram SSDA</t>
  </si>
  <si>
    <t>HerbertCentram MDA</t>
  </si>
  <si>
    <t>HerbertCentrat MDA</t>
  </si>
  <si>
    <t>HerbertUnion WDA</t>
  </si>
  <si>
    <t>HerbertNipigon WDA</t>
  </si>
  <si>
    <t>HerbertUnion NDA</t>
  </si>
  <si>
    <t>HerbertCalstock NDA</t>
  </si>
  <si>
    <t>HerbertTunis NDA</t>
  </si>
  <si>
    <t>HerbertGMIT NDA</t>
  </si>
  <si>
    <t>HerbertUnion SSMDA</t>
  </si>
  <si>
    <t>HerbertUnion NCDA</t>
  </si>
  <si>
    <t>HerbertUnion CDA</t>
  </si>
  <si>
    <t>HerbertUnion ECDA</t>
  </si>
  <si>
    <t>HerbertUnion EDA</t>
  </si>
  <si>
    <t>HerbertUnion Parkway Belt</t>
  </si>
  <si>
    <t>HerbertEnbridge CDA</t>
  </si>
  <si>
    <t>HerbertEnbridge Parkway CDA</t>
  </si>
  <si>
    <t>HerbertEnbridge EDA</t>
  </si>
  <si>
    <t>HerbertKPUC EDA</t>
  </si>
  <si>
    <t>HerbertGMIT EDA</t>
  </si>
  <si>
    <t>HerbertEnbridge SWDA</t>
  </si>
  <si>
    <t>HerbertUnion SWDA</t>
  </si>
  <si>
    <t>HerbertChippawa</t>
  </si>
  <si>
    <t>HerbertCornwall</t>
  </si>
  <si>
    <t>HerbertEast Hereford</t>
  </si>
  <si>
    <t>HerbertEmerson 1</t>
  </si>
  <si>
    <t>HerbertEmerson 2</t>
  </si>
  <si>
    <t>HerbertIroquois</t>
  </si>
  <si>
    <t>HerbertKirkwall</t>
  </si>
  <si>
    <t>HerbertNapierville</t>
  </si>
  <si>
    <t>HerbertNiagara Falls</t>
  </si>
  <si>
    <t>HerbertNorth Bay Junction</t>
  </si>
  <si>
    <t>HerbertPhilipsburg</t>
  </si>
  <si>
    <t>HerbertSpruce</t>
  </si>
  <si>
    <t>HerbertSt. Clair</t>
  </si>
  <si>
    <t>HerbertWelwyn</t>
  </si>
  <si>
    <t>HerbertDawn Export</t>
  </si>
  <si>
    <t>IroquoisEmpress</t>
  </si>
  <si>
    <t>IroquoisTransGas SSDA</t>
  </si>
  <si>
    <t>IroquoisCentram SSDA</t>
  </si>
  <si>
    <t>IroquoisCentram MDA</t>
  </si>
  <si>
    <t>IroquoisCentrat MDA</t>
  </si>
  <si>
    <t>IroquoisUnion WDA</t>
  </si>
  <si>
    <t>IroquoisNipigon WDA</t>
  </si>
  <si>
    <t>IroquoisUnion NDA</t>
  </si>
  <si>
    <t>IroquoisCalstock NDA</t>
  </si>
  <si>
    <t>IroquoisTunis NDA</t>
  </si>
  <si>
    <t>IroquoisGMIT NDA</t>
  </si>
  <si>
    <t>IroquoisUnion SSMDA</t>
  </si>
  <si>
    <t>IroquoisUnion NCDA</t>
  </si>
  <si>
    <t>IroquoisUnion CDA</t>
  </si>
  <si>
    <t>IroquoisUnion ECDA</t>
  </si>
  <si>
    <t>IroquoisUnion EDA</t>
  </si>
  <si>
    <t>IroquoisUnion Parkway Belt</t>
  </si>
  <si>
    <t>IroquoisEnbridge CDA</t>
  </si>
  <si>
    <t>IroquoisEnbridge Parkway CDA</t>
  </si>
  <si>
    <t>IroquoisEnbridge EDA</t>
  </si>
  <si>
    <t>IroquoisKPUC EDA</t>
  </si>
  <si>
    <t>IroquoisGMIT EDA</t>
  </si>
  <si>
    <t>IroquoisEnbridge SWDA</t>
  </si>
  <si>
    <t>IroquoisUnion SWDA</t>
  </si>
  <si>
    <t>IroquoisChippawa</t>
  </si>
  <si>
    <t>IroquoisCornwall</t>
  </si>
  <si>
    <t>IroquoisEast Hereford</t>
  </si>
  <si>
    <t>IroquoisEmerson 1</t>
  </si>
  <si>
    <t>IroquoisEmerson 2</t>
  </si>
  <si>
    <t>IroquoisIroquois</t>
  </si>
  <si>
    <t>IroquoisKirkwall</t>
  </si>
  <si>
    <t>IroquoisNapierville</t>
  </si>
  <si>
    <t>IroquoisNiagara Falls</t>
  </si>
  <si>
    <t>IroquoisNorth Bay Junction</t>
  </si>
  <si>
    <t>IroquoisPhilipsburg</t>
  </si>
  <si>
    <t>IroquoisSpruce</t>
  </si>
  <si>
    <t>IroquoisSt. Clair</t>
  </si>
  <si>
    <t>IroquoisWelwyn</t>
  </si>
  <si>
    <t>IroquoisDawn Export</t>
  </si>
  <si>
    <t>KirkwallEmpress</t>
  </si>
  <si>
    <t>KirkwallTransGas SSDA</t>
  </si>
  <si>
    <t>KirkwallCentram SSDA</t>
  </si>
  <si>
    <t>KirkwallCentram MDA</t>
  </si>
  <si>
    <t>KirkwallCentrat MDA</t>
  </si>
  <si>
    <t>KirkwallUnion WDA</t>
  </si>
  <si>
    <t>KirkwallNipigon WDA</t>
  </si>
  <si>
    <t>KirkwallUnion NDA</t>
  </si>
  <si>
    <t>KirkwallCalstock NDA</t>
  </si>
  <si>
    <t>KirkwallTunis NDA</t>
  </si>
  <si>
    <t>KirkwallGMIT NDA</t>
  </si>
  <si>
    <t>KirkwallUnion SSMDA</t>
  </si>
  <si>
    <t>KirkwallUnion NCDA</t>
  </si>
  <si>
    <t>KirkwallUnion CDA</t>
  </si>
  <si>
    <t>KirkwallUnion ECDA</t>
  </si>
  <si>
    <t>KirkwallUnion EDA</t>
  </si>
  <si>
    <t>KirkwallUnion Parkway Belt</t>
  </si>
  <si>
    <t>KirkwallEnbridge CDA</t>
  </si>
  <si>
    <t>KirkwallEnbridge Parkway CDA</t>
  </si>
  <si>
    <t>KirkwallEnbridge EDA</t>
  </si>
  <si>
    <t>KirkwallKPUC EDA</t>
  </si>
  <si>
    <t>KirkwallGMIT EDA</t>
  </si>
  <si>
    <t>KirkwallEnbridge SWDA</t>
  </si>
  <si>
    <t>KirkwallUnion SWDA</t>
  </si>
  <si>
    <t>KirkwallChippawa</t>
  </si>
  <si>
    <t>KirkwallCornwall</t>
  </si>
  <si>
    <t>KirkwallEast Hereford</t>
  </si>
  <si>
    <t>KirkwallEmerson 1</t>
  </si>
  <si>
    <t>KirkwallEmerson 2</t>
  </si>
  <si>
    <t>KirkwallIroquois</t>
  </si>
  <si>
    <t>KirkwallKirkwall</t>
  </si>
  <si>
    <t>KirkwallNapierville</t>
  </si>
  <si>
    <t>KirkwallNiagara Falls</t>
  </si>
  <si>
    <t>KirkwallNorth Bay Junction</t>
  </si>
  <si>
    <t>KirkwallPhilipsburg</t>
  </si>
  <si>
    <t>KirkwallSpruce</t>
  </si>
  <si>
    <t>KirkwallSt. Clair</t>
  </si>
  <si>
    <t>KirkwallWelwyn</t>
  </si>
  <si>
    <t>KirkwallDawn Export</t>
  </si>
  <si>
    <t>KPUC EDAEmpress</t>
  </si>
  <si>
    <t>KPUC EDATransGas SSDA</t>
  </si>
  <si>
    <t>KPUC EDACentram SSDA</t>
  </si>
  <si>
    <t>KPUC EDACentram MDA</t>
  </si>
  <si>
    <t>KPUC EDACentrat MDA</t>
  </si>
  <si>
    <t>KPUC EDAUnion WDA</t>
  </si>
  <si>
    <t>KPUC EDANipigon WDA</t>
  </si>
  <si>
    <t>KPUC EDAUnion NDA</t>
  </si>
  <si>
    <t>KPUC EDACalstock NDA</t>
  </si>
  <si>
    <t>KPUC EDATunis NDA</t>
  </si>
  <si>
    <t>KPUC EDAGMIT NDA</t>
  </si>
  <si>
    <t>KPUC EDAUnion SSMDA</t>
  </si>
  <si>
    <t>KPUC EDAUnion NCDA</t>
  </si>
  <si>
    <t>KPUC EDAUnion CDA</t>
  </si>
  <si>
    <t>KPUC EDAUnion ECDA</t>
  </si>
  <si>
    <t>KPUC EDAUnion EDA</t>
  </si>
  <si>
    <t>KPUC EDAUnion Parkway Belt</t>
  </si>
  <si>
    <t>KPUC EDAEnbridge CDA</t>
  </si>
  <si>
    <t>KPUC EDAEnbridge Parkway CDA</t>
  </si>
  <si>
    <t>KPUC EDAEnbridge EDA</t>
  </si>
  <si>
    <t>KPUC EDAKPUC EDA</t>
  </si>
  <si>
    <t>KPUC EDAGMIT EDA</t>
  </si>
  <si>
    <t>KPUC EDAEnbridge SWDA</t>
  </si>
  <si>
    <t>KPUC EDAUnion SWDA</t>
  </si>
  <si>
    <t>KPUC EDAChippawa</t>
  </si>
  <si>
    <t>KPUC EDACornwall</t>
  </si>
  <si>
    <t>KPUC EDAEast Hereford</t>
  </si>
  <si>
    <t>KPUC EDAEmerson 1</t>
  </si>
  <si>
    <t>KPUC EDAEmerson 2</t>
  </si>
  <si>
    <t>KPUC EDAIroquois</t>
  </si>
  <si>
    <t>KPUC EDAKirkwall</t>
  </si>
  <si>
    <t>KPUC EDANapierville</t>
  </si>
  <si>
    <t>KPUC EDANiagara Falls</t>
  </si>
  <si>
    <t>KPUC EDANorth Bay Junction</t>
  </si>
  <si>
    <t>KPUC EDAPhilipsburg</t>
  </si>
  <si>
    <t>KPUC EDASpruce</t>
  </si>
  <si>
    <t>KPUC EDASt. Clair</t>
  </si>
  <si>
    <t>KPUC EDAWelwyn</t>
  </si>
  <si>
    <t>KPUC EDADawn Export</t>
  </si>
  <si>
    <t>LachenaieEmpress</t>
  </si>
  <si>
    <t>LachenaieTransGas SSDA</t>
  </si>
  <si>
    <t>LachenaieCentram SSDA</t>
  </si>
  <si>
    <t>LachenaieCentram MDA</t>
  </si>
  <si>
    <t>LachenaieCentrat MDA</t>
  </si>
  <si>
    <t>LachenaieUnion WDA</t>
  </si>
  <si>
    <t>LachenaieNipigon WDA</t>
  </si>
  <si>
    <t>LachenaieUnion NDA</t>
  </si>
  <si>
    <t>LachenaieCalstock NDA</t>
  </si>
  <si>
    <t>LachenaieTunis NDA</t>
  </si>
  <si>
    <t>LachenaieGMIT NDA</t>
  </si>
  <si>
    <t>LachenaieUnion SSMDA</t>
  </si>
  <si>
    <t>LachenaieUnion NCDA</t>
  </si>
  <si>
    <t>LachenaieUnion CDA</t>
  </si>
  <si>
    <t>LachenaieUnion ECDA</t>
  </si>
  <si>
    <t>LachenaieUnion EDA</t>
  </si>
  <si>
    <t>LachenaieUnion Parkway Belt</t>
  </si>
  <si>
    <t>LachenaieEnbridge CDA</t>
  </si>
  <si>
    <t>LachenaieEnbridge Parkway CDA</t>
  </si>
  <si>
    <t>LachenaieEnbridge EDA</t>
  </si>
  <si>
    <t>LachenaieKPUC EDA</t>
  </si>
  <si>
    <t>LachenaieGMIT EDA</t>
  </si>
  <si>
    <t>LachenaieEnbridge SWDA</t>
  </si>
  <si>
    <t>LachenaieUnion SWDA</t>
  </si>
  <si>
    <t>LachenaieChippawa</t>
  </si>
  <si>
    <t>LachenaieCornwall</t>
  </si>
  <si>
    <t>LachenaieEast Hereford</t>
  </si>
  <si>
    <t>LachenaieEmerson 1</t>
  </si>
  <si>
    <t>LachenaieEmerson 2</t>
  </si>
  <si>
    <t>LachenaieIroquois</t>
  </si>
  <si>
    <t>LachenaieKirkwall</t>
  </si>
  <si>
    <t>LachenaieNapierville</t>
  </si>
  <si>
    <t>LachenaieNiagara Falls</t>
  </si>
  <si>
    <t>LachenaieNorth Bay Junction</t>
  </si>
  <si>
    <t>LachenaiePhilipsburg</t>
  </si>
  <si>
    <t>LachenaieSpruce</t>
  </si>
  <si>
    <t>LachenaieSt. Clair</t>
  </si>
  <si>
    <t>LachenaieWelwyn</t>
  </si>
  <si>
    <t>LachenaieDawn Export</t>
  </si>
  <si>
    <t>LiebenthalEmpress</t>
  </si>
  <si>
    <t>LiebenthalTransGas SSDA</t>
  </si>
  <si>
    <t>LiebenthalCentram SSDA</t>
  </si>
  <si>
    <t>LiebenthalCentram MDA</t>
  </si>
  <si>
    <t>LiebenthalCentrat MDA</t>
  </si>
  <si>
    <t>LiebenthalUnion WDA</t>
  </si>
  <si>
    <t>LiebenthalNipigon WDA</t>
  </si>
  <si>
    <t>LiebenthalUnion NDA</t>
  </si>
  <si>
    <t>LiebenthalCalstock NDA</t>
  </si>
  <si>
    <t>LiebenthalTunis NDA</t>
  </si>
  <si>
    <t>LiebenthalGMIT NDA</t>
  </si>
  <si>
    <t>LiebenthalUnion SSMDA</t>
  </si>
  <si>
    <t>LiebenthalUnion NCDA</t>
  </si>
  <si>
    <t>LiebenthalUnion CDA</t>
  </si>
  <si>
    <t>LiebenthalUnion ECDA</t>
  </si>
  <si>
    <t>LiebenthalUnion EDA</t>
  </si>
  <si>
    <t>LiebenthalUnion Parkway Belt</t>
  </si>
  <si>
    <t>LiebenthalEnbridge CDA</t>
  </si>
  <si>
    <t>LiebenthalEnbridge Parkway CDA</t>
  </si>
  <si>
    <t>LiebenthalEnbridge EDA</t>
  </si>
  <si>
    <t>LiebenthalKPUC EDA</t>
  </si>
  <si>
    <t>LiebenthalGMIT EDA</t>
  </si>
  <si>
    <t>LiebenthalEnbridge SWDA</t>
  </si>
  <si>
    <t>LiebenthalUnion SWDA</t>
  </si>
  <si>
    <t>LiebenthalChippawa</t>
  </si>
  <si>
    <t>LiebenthalCornwall</t>
  </si>
  <si>
    <t>LiebenthalEast Hereford</t>
  </si>
  <si>
    <t>LiebenthalEmerson 1</t>
  </si>
  <si>
    <t>LiebenthalEmerson 2</t>
  </si>
  <si>
    <t>LiebenthalIroquois</t>
  </si>
  <si>
    <t>LiebenthalKirkwall</t>
  </si>
  <si>
    <t>LiebenthalNapierville</t>
  </si>
  <si>
    <t>LiebenthalNiagara Falls</t>
  </si>
  <si>
    <t>LiebenthalNorth Bay Junction</t>
  </si>
  <si>
    <t>LiebenthalPhilipsburg</t>
  </si>
  <si>
    <t>LiebenthalSpruce</t>
  </si>
  <si>
    <t>LiebenthalSt. Clair</t>
  </si>
  <si>
    <t>LiebenthalWelwyn</t>
  </si>
  <si>
    <t>LiebenthalDawn Export</t>
  </si>
  <si>
    <t>NapiervilleEmpress</t>
  </si>
  <si>
    <t>NapiervilleTransGas SSDA</t>
  </si>
  <si>
    <t>NapiervilleCentram SSDA</t>
  </si>
  <si>
    <t>NapiervilleCentram MDA</t>
  </si>
  <si>
    <t>NapiervilleCentrat MDA</t>
  </si>
  <si>
    <t>NapiervilleUnion WDA</t>
  </si>
  <si>
    <t>NapiervilleNipigon WDA</t>
  </si>
  <si>
    <t>NapiervilleUnion NDA</t>
  </si>
  <si>
    <t>NapiervilleCalstock NDA</t>
  </si>
  <si>
    <t>NapiervilleTunis NDA</t>
  </si>
  <si>
    <t>NapiervilleGMIT NDA</t>
  </si>
  <si>
    <t>NapiervilleUnion SSMDA</t>
  </si>
  <si>
    <t>NapiervilleUnion NCDA</t>
  </si>
  <si>
    <t>NapiervilleUnion CDA</t>
  </si>
  <si>
    <t>NapiervilleUnion ECDA</t>
  </si>
  <si>
    <t>NapiervilleUnion EDA</t>
  </si>
  <si>
    <t>NapiervilleUnion Parkway Belt</t>
  </si>
  <si>
    <t>NapiervilleEnbridge CDA</t>
  </si>
  <si>
    <t>NapiervilleEnbridge Parkway CDA</t>
  </si>
  <si>
    <t>NapiervilleEnbridge EDA</t>
  </si>
  <si>
    <t>NapiervilleKPUC EDA</t>
  </si>
  <si>
    <t>NapiervilleGMIT EDA</t>
  </si>
  <si>
    <t>NapiervilleEnbridge SWDA</t>
  </si>
  <si>
    <t>NapiervilleUnion SWDA</t>
  </si>
  <si>
    <t>NapiervilleChippawa</t>
  </si>
  <si>
    <t>NapiervilleCornwall</t>
  </si>
  <si>
    <t>NapiervilleEast Hereford</t>
  </si>
  <si>
    <t>NapiervilleEmerson 1</t>
  </si>
  <si>
    <t>NapiervilleEmerson 2</t>
  </si>
  <si>
    <t>NapiervilleIroquois</t>
  </si>
  <si>
    <t>NapiervilleKirkwall</t>
  </si>
  <si>
    <t>NapiervilleNapierville</t>
  </si>
  <si>
    <t>NapiervilleNiagara Falls</t>
  </si>
  <si>
    <t>NapiervilleNorth Bay Junction</t>
  </si>
  <si>
    <t>NapiervillePhilipsburg</t>
  </si>
  <si>
    <t>NapiervilleSpruce</t>
  </si>
  <si>
    <t>NapiervilleSt. Clair</t>
  </si>
  <si>
    <t>NapiervilleWelwyn</t>
  </si>
  <si>
    <t>NapiervilleDawn Export</t>
  </si>
  <si>
    <t>Niagara FallsEmpress</t>
  </si>
  <si>
    <t>Niagara FallsTransGas SSDA</t>
  </si>
  <si>
    <t>Niagara FallsCentram SSDA</t>
  </si>
  <si>
    <t>Niagara FallsCentram MDA</t>
  </si>
  <si>
    <t>Niagara FallsCentrat MDA</t>
  </si>
  <si>
    <t>Niagara FallsUnion WDA</t>
  </si>
  <si>
    <t>Niagara FallsNipigon WDA</t>
  </si>
  <si>
    <t>Niagara FallsUnion NDA</t>
  </si>
  <si>
    <t>Niagara FallsCalstock NDA</t>
  </si>
  <si>
    <t>Niagara FallsTunis NDA</t>
  </si>
  <si>
    <t>Niagara FallsGMIT NDA</t>
  </si>
  <si>
    <t>Niagara FallsUnion SSMDA</t>
  </si>
  <si>
    <t>Niagara FallsUnion NCDA</t>
  </si>
  <si>
    <t>Niagara FallsUnion CDA</t>
  </si>
  <si>
    <t>Niagara FallsUnion ECDA</t>
  </si>
  <si>
    <t>Niagara FallsUnion EDA</t>
  </si>
  <si>
    <t>Niagara FallsUnion Parkway Belt</t>
  </si>
  <si>
    <t>Niagara FallsEnbridge CDA</t>
  </si>
  <si>
    <t>Niagara FallsEnbridge Parkway CDA</t>
  </si>
  <si>
    <t>Niagara FallsEnbridge EDA</t>
  </si>
  <si>
    <t>Niagara FallsKPUC EDA</t>
  </si>
  <si>
    <t>Niagara FallsGMIT EDA</t>
  </si>
  <si>
    <t>Niagara FallsEnbridge SWDA</t>
  </si>
  <si>
    <t>Niagara FallsUnion SWDA</t>
  </si>
  <si>
    <t>Niagara FallsChippawa</t>
  </si>
  <si>
    <t>Niagara FallsCornwall</t>
  </si>
  <si>
    <t>Niagara FallsEast Hereford</t>
  </si>
  <si>
    <t>Niagara FallsEmerson 1</t>
  </si>
  <si>
    <t>Niagara FallsEmerson 2</t>
  </si>
  <si>
    <t>Niagara FallsIroquois</t>
  </si>
  <si>
    <t>Niagara FallsKirkwall</t>
  </si>
  <si>
    <t>Niagara FallsNapierville</t>
  </si>
  <si>
    <t>Niagara FallsNiagara Falls</t>
  </si>
  <si>
    <t>Niagara FallsNorth Bay Junction</t>
  </si>
  <si>
    <t>Niagara FallsPhilipsburg</t>
  </si>
  <si>
    <t>Niagara FallsSpruce</t>
  </si>
  <si>
    <t>Niagara FallsSt. Clair</t>
  </si>
  <si>
    <t>Niagara FallsWelwyn</t>
  </si>
  <si>
    <t>Niagara FallsDawn Export</t>
  </si>
  <si>
    <t>Nipigon WDAEmpress</t>
  </si>
  <si>
    <t>Nipigon WDATransGas SSDA</t>
  </si>
  <si>
    <t>Nipigon WDACentram SSDA</t>
  </si>
  <si>
    <t>Nipigon WDACentram MDA</t>
  </si>
  <si>
    <t>Nipigon WDACentrat MDA</t>
  </si>
  <si>
    <t>Nipigon WDAUnion WDA</t>
  </si>
  <si>
    <t>Nipigon WDANipigon WDA</t>
  </si>
  <si>
    <t>Nipigon WDAUnion NDA</t>
  </si>
  <si>
    <t>Nipigon WDACalstock NDA</t>
  </si>
  <si>
    <t>Nipigon WDATunis NDA</t>
  </si>
  <si>
    <t>Nipigon WDAGMIT NDA</t>
  </si>
  <si>
    <t>Nipigon WDAUnion SSMDA</t>
  </si>
  <si>
    <t>Nipigon WDAUnion NCDA</t>
  </si>
  <si>
    <t>Nipigon WDAUnion CDA</t>
  </si>
  <si>
    <t>Nipigon WDAUnion ECDA</t>
  </si>
  <si>
    <t>Nipigon WDAUnion EDA</t>
  </si>
  <si>
    <t>Nipigon WDAUnion Parkway Belt</t>
  </si>
  <si>
    <t>Nipigon WDAEnbridge CDA</t>
  </si>
  <si>
    <t>Nipigon WDAEnbridge Parkway CDA</t>
  </si>
  <si>
    <t>Nipigon WDAEnbridge EDA</t>
  </si>
  <si>
    <t>Nipigon WDAKPUC EDA</t>
  </si>
  <si>
    <t>Nipigon WDAGMIT EDA</t>
  </si>
  <si>
    <t>Nipigon WDAEnbridge SWDA</t>
  </si>
  <si>
    <t>Nipigon WDAUnion SWDA</t>
  </si>
  <si>
    <t>Nipigon WDAChippawa</t>
  </si>
  <si>
    <t>Nipigon WDACornwall</t>
  </si>
  <si>
    <t>Nipigon WDAEast Hereford</t>
  </si>
  <si>
    <t>Nipigon WDAEmerson 1</t>
  </si>
  <si>
    <t>Nipigon WDAEmerson 2</t>
  </si>
  <si>
    <t>Nipigon WDAIroquois</t>
  </si>
  <si>
    <t>Nipigon WDAKirkwall</t>
  </si>
  <si>
    <t>Nipigon WDANapierville</t>
  </si>
  <si>
    <t>Nipigon WDANiagara Falls</t>
  </si>
  <si>
    <t>Nipigon WDANorth Bay Junction</t>
  </si>
  <si>
    <t>Nipigon WDAPhilipsburg</t>
  </si>
  <si>
    <t>Nipigon WDASpruce</t>
  </si>
  <si>
    <t>Nipigon WDASt. Clair</t>
  </si>
  <si>
    <t>Nipigon WDAWelwyn</t>
  </si>
  <si>
    <t>Nipigon WDADawn Export</t>
  </si>
  <si>
    <t>North Bay JunctionEmpress</t>
  </si>
  <si>
    <t>North Bay JunctionTransGas SSDA</t>
  </si>
  <si>
    <t>North Bay JunctionCentram SSDA</t>
  </si>
  <si>
    <t>North Bay JunctionCentram MDA</t>
  </si>
  <si>
    <t>North Bay JunctionCentrat MDA</t>
  </si>
  <si>
    <t>North Bay JunctionUnion WDA</t>
  </si>
  <si>
    <t>North Bay JunctionNipigon WDA</t>
  </si>
  <si>
    <t>North Bay JunctionUnion NDA</t>
  </si>
  <si>
    <t>North Bay JunctionCalstock NDA</t>
  </si>
  <si>
    <t>North Bay JunctionTunis NDA</t>
  </si>
  <si>
    <t>North Bay JunctionGMIT NDA</t>
  </si>
  <si>
    <t>North Bay JunctionUnion SSMDA</t>
  </si>
  <si>
    <t>North Bay JunctionUnion NCDA</t>
  </si>
  <si>
    <t>North Bay JunctionUnion CDA</t>
  </si>
  <si>
    <t>North Bay JunctionUnion ECDA</t>
  </si>
  <si>
    <t>North Bay JunctionUnion EDA</t>
  </si>
  <si>
    <t>North Bay JunctionUnion Parkway Belt</t>
  </si>
  <si>
    <t>North Bay JunctionEnbridge CDA</t>
  </si>
  <si>
    <t>North Bay JunctionEnbridge Parkway CDA</t>
  </si>
  <si>
    <t>North Bay JunctionEnbridge EDA</t>
  </si>
  <si>
    <t>North Bay JunctionKPUC EDA</t>
  </si>
  <si>
    <t>North Bay JunctionGMIT EDA</t>
  </si>
  <si>
    <t>North Bay JunctionEnbridge SWDA</t>
  </si>
  <si>
    <t>North Bay JunctionUnion SWDA</t>
  </si>
  <si>
    <t>North Bay JunctionChippawa</t>
  </si>
  <si>
    <t>North Bay JunctionCornwall</t>
  </si>
  <si>
    <t>North Bay JunctionEast Hereford</t>
  </si>
  <si>
    <t>North Bay JunctionEmerson 1</t>
  </si>
  <si>
    <t>North Bay JunctionEmerson 2</t>
  </si>
  <si>
    <t>North Bay JunctionIroquois</t>
  </si>
  <si>
    <t>North Bay JunctionKirkwall</t>
  </si>
  <si>
    <t>North Bay JunctionNapierville</t>
  </si>
  <si>
    <t>North Bay JunctionNiagara Falls</t>
  </si>
  <si>
    <t>North Bay JunctionNorth Bay Junction</t>
  </si>
  <si>
    <t>North Bay JunctionPhilipsburg</t>
  </si>
  <si>
    <t>North Bay JunctionSpruce</t>
  </si>
  <si>
    <t>North Bay JunctionSt. Clair</t>
  </si>
  <si>
    <t>North Bay JunctionWelwyn</t>
  </si>
  <si>
    <t>North Bay JunctionDawn Export</t>
  </si>
  <si>
    <t>PhilipsburgEmpress</t>
  </si>
  <si>
    <t>PhilipsburgTransGas SSDA</t>
  </si>
  <si>
    <t>PhilipsburgCentram SSDA</t>
  </si>
  <si>
    <t>PhilipsburgCentram MDA</t>
  </si>
  <si>
    <t>PhilipsburgCentrat MDA</t>
  </si>
  <si>
    <t>PhilipsburgUnion WDA</t>
  </si>
  <si>
    <t>PhilipsburgNipigon WDA</t>
  </si>
  <si>
    <t>PhilipsburgUnion NDA</t>
  </si>
  <si>
    <t>PhilipsburgCalstock NDA</t>
  </si>
  <si>
    <t>PhilipsburgTunis NDA</t>
  </si>
  <si>
    <t>PhilipsburgGMIT NDA</t>
  </si>
  <si>
    <t>PhilipsburgUnion SSMDA</t>
  </si>
  <si>
    <t>PhilipsburgUnion NCDA</t>
  </si>
  <si>
    <t>PhilipsburgUnion CDA</t>
  </si>
  <si>
    <t>PhilipsburgUnion ECDA</t>
  </si>
  <si>
    <t>PhilipsburgUnion EDA</t>
  </si>
  <si>
    <t>PhilipsburgUnion Parkway Belt</t>
  </si>
  <si>
    <t>PhilipsburgEnbridge CDA</t>
  </si>
  <si>
    <t>PhilipsburgEnbridge Parkway CDA</t>
  </si>
  <si>
    <t>PhilipsburgEnbridge EDA</t>
  </si>
  <si>
    <t>PhilipsburgKPUC EDA</t>
  </si>
  <si>
    <t>PhilipsburgGMIT EDA</t>
  </si>
  <si>
    <t>PhilipsburgEnbridge SWDA</t>
  </si>
  <si>
    <t>PhilipsburgUnion SWDA</t>
  </si>
  <si>
    <t>PhilipsburgChippawa</t>
  </si>
  <si>
    <t>PhilipsburgCornwall</t>
  </si>
  <si>
    <t>PhilipsburgEast Hereford</t>
  </si>
  <si>
    <t>PhilipsburgEmerson 1</t>
  </si>
  <si>
    <t>PhilipsburgEmerson 2</t>
  </si>
  <si>
    <t>PhilipsburgIroquois</t>
  </si>
  <si>
    <t>PhilipsburgKirkwall</t>
  </si>
  <si>
    <t>PhilipsburgNapierville</t>
  </si>
  <si>
    <t>PhilipsburgNiagara Falls</t>
  </si>
  <si>
    <t>PhilipsburgNorth Bay Junction</t>
  </si>
  <si>
    <t>PhilipsburgPhilipsburg</t>
  </si>
  <si>
    <t>PhilipsburgSpruce</t>
  </si>
  <si>
    <t>PhilipsburgSt. Clair</t>
  </si>
  <si>
    <t>PhilipsburgWelwyn</t>
  </si>
  <si>
    <t>PhilipsburgDawn Export</t>
  </si>
  <si>
    <t>RichmoundEmpress</t>
  </si>
  <si>
    <t>RichmoundTransGas SSDA</t>
  </si>
  <si>
    <t>RichmoundCentram SSDA</t>
  </si>
  <si>
    <t>RichmoundCentram MDA</t>
  </si>
  <si>
    <t>RichmoundCentrat MDA</t>
  </si>
  <si>
    <t>RichmoundUnion WDA</t>
  </si>
  <si>
    <t>RichmoundNipigon WDA</t>
  </si>
  <si>
    <t>RichmoundUnion NDA</t>
  </si>
  <si>
    <t>RichmoundCalstock NDA</t>
  </si>
  <si>
    <t>RichmoundTunis NDA</t>
  </si>
  <si>
    <t>RichmoundGMIT NDA</t>
  </si>
  <si>
    <t>RichmoundUnion SSMDA</t>
  </si>
  <si>
    <t>RichmoundUnion NCDA</t>
  </si>
  <si>
    <t>RichmoundUnion CDA</t>
  </si>
  <si>
    <t>RichmoundUnion ECDA</t>
  </si>
  <si>
    <t>RichmoundUnion EDA</t>
  </si>
  <si>
    <t>RichmoundUnion Parkway Belt</t>
  </si>
  <si>
    <t>RichmoundEnbridge CDA</t>
  </si>
  <si>
    <t>RichmoundEnbridge Parkway CDA</t>
  </si>
  <si>
    <t>RichmoundEnbridge EDA</t>
  </si>
  <si>
    <t>RichmoundKPUC EDA</t>
  </si>
  <si>
    <t>RichmoundGMIT EDA</t>
  </si>
  <si>
    <t>RichmoundEnbridge SWDA</t>
  </si>
  <si>
    <t>RichmoundUnion SWDA</t>
  </si>
  <si>
    <t>RichmoundChippawa</t>
  </si>
  <si>
    <t>RichmoundCornwall</t>
  </si>
  <si>
    <t>RichmoundEast Hereford</t>
  </si>
  <si>
    <t>RichmoundEmerson 1</t>
  </si>
  <si>
    <t>RichmoundEmerson 2</t>
  </si>
  <si>
    <t>RichmoundIroquois</t>
  </si>
  <si>
    <t>RichmoundKirkwall</t>
  </si>
  <si>
    <t>RichmoundNapierville</t>
  </si>
  <si>
    <t>RichmoundNiagara Falls</t>
  </si>
  <si>
    <t>RichmoundNorth Bay Junction</t>
  </si>
  <si>
    <t>RichmoundPhilipsburg</t>
  </si>
  <si>
    <t>RichmoundSpruce</t>
  </si>
  <si>
    <t>RichmoundSt. Clair</t>
  </si>
  <si>
    <t>RichmoundWelwyn</t>
  </si>
  <si>
    <t>RichmoundDawn Export</t>
  </si>
  <si>
    <t>Sainte-Genevieve-de-BerthierEmpress</t>
  </si>
  <si>
    <t>Sainte-Genevieve-de-BerthierTransGas SSDA</t>
  </si>
  <si>
    <t>Sainte-Genevieve-de-BerthierCentram SSDA</t>
  </si>
  <si>
    <t>Sainte-Genevieve-de-BerthierCentram MDA</t>
  </si>
  <si>
    <t>Sainte-Genevieve-de-BerthierCentrat MDA</t>
  </si>
  <si>
    <t>Sainte-Genevieve-de-BerthierUnion WDA</t>
  </si>
  <si>
    <t>Sainte-Genevieve-de-BerthierNipigon WDA</t>
  </si>
  <si>
    <t>Sainte-Genevieve-de-BerthierUnion NDA</t>
  </si>
  <si>
    <t>Sainte-Genevieve-de-BerthierCalstock NDA</t>
  </si>
  <si>
    <t>Sainte-Genevieve-de-BerthierTunis NDA</t>
  </si>
  <si>
    <t>Sainte-Genevieve-de-BerthierGMIT NDA</t>
  </si>
  <si>
    <t>Sainte-Genevieve-de-BerthierUnion SSMDA</t>
  </si>
  <si>
    <t>Sainte-Genevieve-de-BerthierUnion NCDA</t>
  </si>
  <si>
    <t>Sainte-Genevieve-de-BerthierUnion CDA</t>
  </si>
  <si>
    <t>Sainte-Genevieve-de-BerthierUnion ECDA</t>
  </si>
  <si>
    <t>Sainte-Genevieve-de-BerthierUnion EDA</t>
  </si>
  <si>
    <t>Sainte-Genevieve-de-BerthierUnion Parkway Belt</t>
  </si>
  <si>
    <t>Sainte-Genevieve-de-BerthierEnbridge CDA</t>
  </si>
  <si>
    <t>Sainte-Genevieve-de-BerthierEnbridge Parkway CDA</t>
  </si>
  <si>
    <t>Sainte-Genevieve-de-BerthierEnbridge EDA</t>
  </si>
  <si>
    <t>Sainte-Genevieve-de-BerthierKPUC EDA</t>
  </si>
  <si>
    <t>Sainte-Genevieve-de-BerthierGMIT EDA</t>
  </si>
  <si>
    <t>Sainte-Genevieve-de-BerthierEnbridge SWDA</t>
  </si>
  <si>
    <t>Sainte-Genevieve-de-BerthierUnion SWDA</t>
  </si>
  <si>
    <t>Sainte-Genevieve-de-BerthierChippawa</t>
  </si>
  <si>
    <t>Sainte-Genevieve-de-BerthierCornwall</t>
  </si>
  <si>
    <t>Sainte-Genevieve-de-BerthierEast Hereford</t>
  </si>
  <si>
    <t>Sainte-Genevieve-de-BerthierEmerson 1</t>
  </si>
  <si>
    <t>Sainte-Genevieve-de-BerthierEmerson 2</t>
  </si>
  <si>
    <t>Sainte-Genevieve-de-BerthierIroquois</t>
  </si>
  <si>
    <t>Sainte-Genevieve-de-BerthierKirkwall</t>
  </si>
  <si>
    <t>Sainte-Genevieve-de-BerthierNapierville</t>
  </si>
  <si>
    <t>Sainte-Genevieve-de-BerthierNiagara Falls</t>
  </si>
  <si>
    <t>Sainte-Genevieve-de-BerthierNorth Bay Junction</t>
  </si>
  <si>
    <t>Sainte-Genevieve-de-BerthierPhilipsburg</t>
  </si>
  <si>
    <t>Sainte-Genevieve-de-BerthierSpruce</t>
  </si>
  <si>
    <t>Sainte-Genevieve-de-BerthierSt. Clair</t>
  </si>
  <si>
    <t>Sainte-Genevieve-de-BerthierWelwyn</t>
  </si>
  <si>
    <t>Sainte-Genevieve-de-BerthierDawn Export</t>
  </si>
  <si>
    <t>ShackletonEmpress</t>
  </si>
  <si>
    <t>ShackletonTransGas SSDA</t>
  </si>
  <si>
    <t>ShackletonCentram SSDA</t>
  </si>
  <si>
    <t>ShackletonCentram MDA</t>
  </si>
  <si>
    <t>ShackletonCentrat MDA</t>
  </si>
  <si>
    <t>ShackletonUnion WDA</t>
  </si>
  <si>
    <t>ShackletonNipigon WDA</t>
  </si>
  <si>
    <t>ShackletonUnion NDA</t>
  </si>
  <si>
    <t>ShackletonCalstock NDA</t>
  </si>
  <si>
    <t>ShackletonTunis NDA</t>
  </si>
  <si>
    <t>ShackletonGMIT NDA</t>
  </si>
  <si>
    <t>ShackletonUnion SSMDA</t>
  </si>
  <si>
    <t>ShackletonUnion NCDA</t>
  </si>
  <si>
    <t>ShackletonUnion CDA</t>
  </si>
  <si>
    <t>ShackletonUnion ECDA</t>
  </si>
  <si>
    <t>ShackletonUnion EDA</t>
  </si>
  <si>
    <t>ShackletonUnion Parkway Belt</t>
  </si>
  <si>
    <t>ShackletonEnbridge CDA</t>
  </si>
  <si>
    <t>ShackletonEnbridge Parkway CDA</t>
  </si>
  <si>
    <t>ShackletonEnbridge EDA</t>
  </si>
  <si>
    <t>ShackletonKPUC EDA</t>
  </si>
  <si>
    <t>ShackletonGMIT EDA</t>
  </si>
  <si>
    <t>ShackletonEnbridge SWDA</t>
  </si>
  <si>
    <t>ShackletonUnion SWDA</t>
  </si>
  <si>
    <t>ShackletonChippawa</t>
  </si>
  <si>
    <t>ShackletonCornwall</t>
  </si>
  <si>
    <t>ShackletonEast Hereford</t>
  </si>
  <si>
    <t>ShackletonEmerson 1</t>
  </si>
  <si>
    <t>ShackletonEmerson 2</t>
  </si>
  <si>
    <t>ShackletonIroquois</t>
  </si>
  <si>
    <t>ShackletonKirkwall</t>
  </si>
  <si>
    <t>ShackletonNapierville</t>
  </si>
  <si>
    <t>ShackletonNiagara Falls</t>
  </si>
  <si>
    <t>ShackletonNorth Bay Junction</t>
  </si>
  <si>
    <t>ShackletonPhilipsburg</t>
  </si>
  <si>
    <t>ShackletonSpruce</t>
  </si>
  <si>
    <t>ShackletonSt. Clair</t>
  </si>
  <si>
    <t>ShackletonWelwyn</t>
  </si>
  <si>
    <t>ShackletonDawn Export</t>
  </si>
  <si>
    <t>SpruceEmpress</t>
  </si>
  <si>
    <t>SpruceTransGas SSDA</t>
  </si>
  <si>
    <t>SpruceCentram SSDA</t>
  </si>
  <si>
    <t>SpruceCentram MDA</t>
  </si>
  <si>
    <t>SpruceCentrat MDA</t>
  </si>
  <si>
    <t>SpruceUnion WDA</t>
  </si>
  <si>
    <t>SpruceNipigon WDA</t>
  </si>
  <si>
    <t>SpruceUnion NDA</t>
  </si>
  <si>
    <t>SpruceCalstock NDA</t>
  </si>
  <si>
    <t>SpruceTunis NDA</t>
  </si>
  <si>
    <t>SpruceGMIT NDA</t>
  </si>
  <si>
    <t>SpruceUnion SSMDA</t>
  </si>
  <si>
    <t>SpruceUnion NCDA</t>
  </si>
  <si>
    <t>SpruceUnion CDA</t>
  </si>
  <si>
    <t>SpruceUnion ECDA</t>
  </si>
  <si>
    <t>SpruceUnion EDA</t>
  </si>
  <si>
    <t>SpruceUnion Parkway Belt</t>
  </si>
  <si>
    <t>SpruceEnbridge CDA</t>
  </si>
  <si>
    <t>SpruceEnbridge Parkway CDA</t>
  </si>
  <si>
    <t>SpruceEnbridge EDA</t>
  </si>
  <si>
    <t>SpruceKPUC EDA</t>
  </si>
  <si>
    <t>SpruceGMIT EDA</t>
  </si>
  <si>
    <t>SpruceEnbridge SWDA</t>
  </si>
  <si>
    <t>SpruceUnion SWDA</t>
  </si>
  <si>
    <t>SpruceChippawa</t>
  </si>
  <si>
    <t>SpruceCornwall</t>
  </si>
  <si>
    <t>SpruceEast Hereford</t>
  </si>
  <si>
    <t>SpruceEmerson 1</t>
  </si>
  <si>
    <t>SpruceEmerson 2</t>
  </si>
  <si>
    <t>SpruceIroquois</t>
  </si>
  <si>
    <t>SpruceKirkwall</t>
  </si>
  <si>
    <t>SpruceNapierville</t>
  </si>
  <si>
    <t>SpruceNiagara Falls</t>
  </si>
  <si>
    <t>SpruceNorth Bay Junction</t>
  </si>
  <si>
    <t>SprucePhilipsburg</t>
  </si>
  <si>
    <t>SpruceSpruce</t>
  </si>
  <si>
    <t>SpruceSt. Clair</t>
  </si>
  <si>
    <t>SpruceWelwyn</t>
  </si>
  <si>
    <t>SpruceDawn Export</t>
  </si>
  <si>
    <t>SS. MarieEmpress</t>
  </si>
  <si>
    <t>SS. MarieTransGas SSDA</t>
  </si>
  <si>
    <t>SS. MarieCentram SSDA</t>
  </si>
  <si>
    <t>SS. MarieCentram MDA</t>
  </si>
  <si>
    <t>SS. MarieCentrat MDA</t>
  </si>
  <si>
    <t>SS. MarieUnion WDA</t>
  </si>
  <si>
    <t>SS. MarieNipigon WDA</t>
  </si>
  <si>
    <t>SS. MarieUnion NDA</t>
  </si>
  <si>
    <t>SS. MarieCalstock NDA</t>
  </si>
  <si>
    <t>SS. MarieTunis NDA</t>
  </si>
  <si>
    <t>SS. MarieGMIT NDA</t>
  </si>
  <si>
    <t>SS. MarieUnion SSMDA</t>
  </si>
  <si>
    <t>SS. MarieUnion NCDA</t>
  </si>
  <si>
    <t>SS. MarieUnion CDA</t>
  </si>
  <si>
    <t>SS. MarieUnion ECDA</t>
  </si>
  <si>
    <t>SS. MarieUnion EDA</t>
  </si>
  <si>
    <t>SS. MarieUnion Parkway Belt</t>
  </si>
  <si>
    <t>SS. MarieEnbridge CDA</t>
  </si>
  <si>
    <t>SS. MarieEnbridge Parkway CDA</t>
  </si>
  <si>
    <t>SS. MarieEnbridge EDA</t>
  </si>
  <si>
    <t>SS. MarieKPUC EDA</t>
  </si>
  <si>
    <t>SS. MarieGMIT EDA</t>
  </si>
  <si>
    <t>SS. MarieEnbridge SWDA</t>
  </si>
  <si>
    <t>SS. MarieUnion SWDA</t>
  </si>
  <si>
    <t>SS. MarieChippawa</t>
  </si>
  <si>
    <t>SS. MarieCornwall</t>
  </si>
  <si>
    <t>SS. MarieEast Hereford</t>
  </si>
  <si>
    <t>SS. MarieEmerson 1</t>
  </si>
  <si>
    <t>SS. MarieEmerson 2</t>
  </si>
  <si>
    <t>SS. MarieIroquois</t>
  </si>
  <si>
    <t>SS. MarieKirkwall</t>
  </si>
  <si>
    <t>SS. MarieNapierville</t>
  </si>
  <si>
    <t>SS. MarieNiagara Falls</t>
  </si>
  <si>
    <t>SS. MarieNorth Bay Junction</t>
  </si>
  <si>
    <t>SS. MariePhilipsburg</t>
  </si>
  <si>
    <t>SS. MarieSpruce</t>
  </si>
  <si>
    <t>SS. MarieSt. Clair</t>
  </si>
  <si>
    <t>SS. MarieWelwyn</t>
  </si>
  <si>
    <t>SS. MarieDawn Export</t>
  </si>
  <si>
    <t>St. ClairEmpress</t>
  </si>
  <si>
    <t>St. ClairTransGas SSDA</t>
  </si>
  <si>
    <t>St. ClairCentram SSDA</t>
  </si>
  <si>
    <t>St. ClairCentram MDA</t>
  </si>
  <si>
    <t>St. ClairCentrat MDA</t>
  </si>
  <si>
    <t>St. ClairUnion WDA</t>
  </si>
  <si>
    <t>St. ClairNipigon WDA</t>
  </si>
  <si>
    <t>St. ClairUnion NDA</t>
  </si>
  <si>
    <t>St. ClairCalstock NDA</t>
  </si>
  <si>
    <t>St. ClairTunis NDA</t>
  </si>
  <si>
    <t>St. ClairGMIT NDA</t>
  </si>
  <si>
    <t>St. ClairUnion SSMDA</t>
  </si>
  <si>
    <t>St. ClairUnion NCDA</t>
  </si>
  <si>
    <t>St. ClairUnion CDA</t>
  </si>
  <si>
    <t>St. ClairUnion ECDA</t>
  </si>
  <si>
    <t>St. ClairUnion EDA</t>
  </si>
  <si>
    <t>St. ClairUnion Parkway Belt</t>
  </si>
  <si>
    <t>St. ClairEnbridge EDA</t>
  </si>
  <si>
    <t>St. ClairEnbridge CDA</t>
  </si>
  <si>
    <t>St. ClairEnbridge Parkway CDA</t>
  </si>
  <si>
    <t>St. ClairKPUC EDA</t>
  </si>
  <si>
    <t>St. ClairGMIT EDA</t>
  </si>
  <si>
    <t>St. ClairEnbridge SWDA</t>
  </si>
  <si>
    <t>St. ClairUnion SWDA</t>
  </si>
  <si>
    <t>St. ClairChippawa</t>
  </si>
  <si>
    <t>St. ClairCornwall</t>
  </si>
  <si>
    <t>St. ClairEast Hereford</t>
  </si>
  <si>
    <t>St. ClairEmerson 1</t>
  </si>
  <si>
    <t>St. ClairEmerson 2</t>
  </si>
  <si>
    <t>St. ClairIroquois</t>
  </si>
  <si>
    <t>St. ClairKirkwall</t>
  </si>
  <si>
    <t>St. ClairNapierville</t>
  </si>
  <si>
    <t>St. ClairNiagara Falls</t>
  </si>
  <si>
    <t>St. ClairNorth Bay Junction</t>
  </si>
  <si>
    <t>St. ClairPhilipsburg</t>
  </si>
  <si>
    <t>St. ClairSpruce</t>
  </si>
  <si>
    <t>St. ClairSt. Clair</t>
  </si>
  <si>
    <t>St. ClairWelwyn</t>
  </si>
  <si>
    <t>St. ClairDawn Export</t>
  </si>
  <si>
    <t>SteelmanEmpress</t>
  </si>
  <si>
    <t>SteelmanTransGas SSDA</t>
  </si>
  <si>
    <t>SteelmanCentram SSDA</t>
  </si>
  <si>
    <t>SteelmanCentram MDA</t>
  </si>
  <si>
    <t>SteelmanCentrat MDA</t>
  </si>
  <si>
    <t>SteelmanUnion WDA</t>
  </si>
  <si>
    <t>SteelmanNipigon WDA</t>
  </si>
  <si>
    <t>SteelmanUnion NDA</t>
  </si>
  <si>
    <t>SteelmanCalstock NDA</t>
  </si>
  <si>
    <t>SteelmanTunis NDA</t>
  </si>
  <si>
    <t>SteelmanGMIT NDA</t>
  </si>
  <si>
    <t>SteelmanUnion SSMDA</t>
  </si>
  <si>
    <t>SteelmanUnion NCDA</t>
  </si>
  <si>
    <t>SteelmanUnion CDA</t>
  </si>
  <si>
    <t>SteelmanUnion ECDA</t>
  </si>
  <si>
    <t>SteelmanUnion EDA</t>
  </si>
  <si>
    <t>SteelmanUnion Parkway Belt</t>
  </si>
  <si>
    <t>SteelmanEnbridge CDA</t>
  </si>
  <si>
    <t>SteelmanEnbridge Parkway CDA</t>
  </si>
  <si>
    <t>SteelmanEnbridge EDA</t>
  </si>
  <si>
    <t>SteelmanKPUC EDA</t>
  </si>
  <si>
    <t>SteelmanGMIT EDA</t>
  </si>
  <si>
    <t>SteelmanEnbridge SWDA</t>
  </si>
  <si>
    <t>SteelmanUnion SWDA</t>
  </si>
  <si>
    <t>SteelmanChippawa</t>
  </si>
  <si>
    <t>SteelmanCornwall</t>
  </si>
  <si>
    <t>SteelmanEast Hereford</t>
  </si>
  <si>
    <t>SteelmanEmerson 1</t>
  </si>
  <si>
    <t>SteelmanEmerson 2</t>
  </si>
  <si>
    <t>SteelmanIroquois</t>
  </si>
  <si>
    <t>SteelmanKirkwall</t>
  </si>
  <si>
    <t>SteelmanNapierville</t>
  </si>
  <si>
    <t>SteelmanNiagara Falls</t>
  </si>
  <si>
    <t>SteelmanNorth Bay Junction</t>
  </si>
  <si>
    <t>SteelmanPhilipsburg</t>
  </si>
  <si>
    <t>SteelmanSpruce</t>
  </si>
  <si>
    <t>SteelmanSt. Clair</t>
  </si>
  <si>
    <t>SteelmanWelwyn</t>
  </si>
  <si>
    <t>SteelmanDawn Export</t>
  </si>
  <si>
    <t>SuccessEmpress</t>
  </si>
  <si>
    <t>SuccessTransGas SSDA</t>
  </si>
  <si>
    <t>SuccessCentram SSDA</t>
  </si>
  <si>
    <t>SuccessCentram MDA</t>
  </si>
  <si>
    <t>SuccessCentrat MDA</t>
  </si>
  <si>
    <t>SuccessUnion WDA</t>
  </si>
  <si>
    <t>SuccessNipigon WDA</t>
  </si>
  <si>
    <t>SuccessUnion NDA</t>
  </si>
  <si>
    <t>SuccessCalstock NDA</t>
  </si>
  <si>
    <t>SuccessTunis NDA</t>
  </si>
  <si>
    <t>SuccessGMIT NDA</t>
  </si>
  <si>
    <t>SuccessUnion SSMDA</t>
  </si>
  <si>
    <t>SuccessUnion NCDA</t>
  </si>
  <si>
    <t>SuccessUnion CDA</t>
  </si>
  <si>
    <t>SuccessUnion ECDA</t>
  </si>
  <si>
    <t>SuccessUnion EDA</t>
  </si>
  <si>
    <t>SuccessUnion Parkway Belt</t>
  </si>
  <si>
    <t>SuccessEnbridge CDA</t>
  </si>
  <si>
    <t>SuccessEnbridge Parkway CDA</t>
  </si>
  <si>
    <t>SuccessEnbridge EDA</t>
  </si>
  <si>
    <t>SuccessKPUC EDA</t>
  </si>
  <si>
    <t>SuccessGMIT EDA</t>
  </si>
  <si>
    <t>SuccessEnbridge SWDA</t>
  </si>
  <si>
    <t>SuccessUnion SWDA</t>
  </si>
  <si>
    <t>SuccessChippawa</t>
  </si>
  <si>
    <t>SuccessCornwall</t>
  </si>
  <si>
    <t>SuccessEast Hereford</t>
  </si>
  <si>
    <t>SuccessEmerson 1</t>
  </si>
  <si>
    <t>SuccessEmerson 2</t>
  </si>
  <si>
    <t>SuccessIroquois</t>
  </si>
  <si>
    <t>SuccessKirkwall</t>
  </si>
  <si>
    <t>SuccessNapierville</t>
  </si>
  <si>
    <t>SuccessNiagara Falls</t>
  </si>
  <si>
    <t>SuccessNorth Bay Junction</t>
  </si>
  <si>
    <t>SuccessPhilipsburg</t>
  </si>
  <si>
    <t>SuccessSpruce</t>
  </si>
  <si>
    <t>SuccessSt. Clair</t>
  </si>
  <si>
    <t>SuccessWelwyn</t>
  </si>
  <si>
    <t>SuccessDawn Export</t>
  </si>
  <si>
    <t>Suffield 2Empress</t>
  </si>
  <si>
    <t>Suffield 2TransGas SSDA</t>
  </si>
  <si>
    <t>Suffield 2Centram SSDA</t>
  </si>
  <si>
    <t>Suffield 2Centram MDA</t>
  </si>
  <si>
    <t>Suffield 2Centrat MDA</t>
  </si>
  <si>
    <t>Suffield 2Union WDA</t>
  </si>
  <si>
    <t>Suffield 2Nipigon WDA</t>
  </si>
  <si>
    <t>Suffield 2Union NDA</t>
  </si>
  <si>
    <t>Suffield 2Calstock NDA</t>
  </si>
  <si>
    <t>Suffield 2Tunis NDA</t>
  </si>
  <si>
    <t>Suffield 2GMIT NDA</t>
  </si>
  <si>
    <t>Suffield 2Union SSMDA</t>
  </si>
  <si>
    <t>Suffield 2Union NCDA</t>
  </si>
  <si>
    <t>Suffield 2Union CDA</t>
  </si>
  <si>
    <t>Suffield 2Union ECDA</t>
  </si>
  <si>
    <t>Suffield 2Union EDA</t>
  </si>
  <si>
    <t>Suffield 2Union Parkway Belt</t>
  </si>
  <si>
    <t>Suffield 2Enbridge CDA</t>
  </si>
  <si>
    <t>Suffield 2Enbridge Parkway CDA</t>
  </si>
  <si>
    <t>Suffield 2Enbridge EDA</t>
  </si>
  <si>
    <t>Suffield 2KPUC EDA</t>
  </si>
  <si>
    <t>Suffield 2GMIT EDA</t>
  </si>
  <si>
    <t>Suffield 2Enbridge SWDA</t>
  </si>
  <si>
    <t>Suffield 2Union SWDA</t>
  </si>
  <si>
    <t>Suffield 2Chippawa</t>
  </si>
  <si>
    <t>Suffield 2Cornwall</t>
  </si>
  <si>
    <t>Suffield 2East Hereford</t>
  </si>
  <si>
    <t>Suffield 2Emerson 1</t>
  </si>
  <si>
    <t>Suffield 2Emerson 2</t>
  </si>
  <si>
    <t>Suffield 2Iroquois</t>
  </si>
  <si>
    <t>Suffield 2Kirkwall</t>
  </si>
  <si>
    <t>Suffield 2Napierville</t>
  </si>
  <si>
    <t>Suffield 2Niagara Falls</t>
  </si>
  <si>
    <t>Suffield 2North Bay Junction</t>
  </si>
  <si>
    <t>Suffield 2Philipsburg</t>
  </si>
  <si>
    <t>Suffield 2Spruce</t>
  </si>
  <si>
    <t>Suffield 2St. Clair</t>
  </si>
  <si>
    <t>Suffield 2Welwyn</t>
  </si>
  <si>
    <t>Suffield 2Dawn Export</t>
  </si>
  <si>
    <t>TransGas SSDAEmpress</t>
  </si>
  <si>
    <t>TransGas SSDATransGas SSDA</t>
  </si>
  <si>
    <t>TransGas SSDACentram SSDA</t>
  </si>
  <si>
    <t>TransGas SSDACentram MDA</t>
  </si>
  <si>
    <t>TransGas SSDACentrat MDA</t>
  </si>
  <si>
    <t>TransGas SSDAUnion WDA</t>
  </si>
  <si>
    <t>TransGas SSDANipigon WDA</t>
  </si>
  <si>
    <t>TransGas SSDAUnion NDA</t>
  </si>
  <si>
    <t>TransGas SSDACalstock NDA</t>
  </si>
  <si>
    <t>TransGas SSDATunis NDA</t>
  </si>
  <si>
    <t>TransGas SSDAGMIT NDA</t>
  </si>
  <si>
    <t>TransGas SSDAUnion SSMDA</t>
  </si>
  <si>
    <t>TransGas SSDAUnion NCDA</t>
  </si>
  <si>
    <t>TransGas SSDAUnion CDA</t>
  </si>
  <si>
    <t>TransGas SSDAUnion ECDA</t>
  </si>
  <si>
    <t>TransGas SSDAUnion EDA</t>
  </si>
  <si>
    <t>TransGas SSDAUnion Parkway Belt</t>
  </si>
  <si>
    <t>TransGas SSDAEnbridge CDA</t>
  </si>
  <si>
    <t>TransGas SSDAEnbridge Parkway CDA</t>
  </si>
  <si>
    <t>TransGas SSDAEnbridge EDA</t>
  </si>
  <si>
    <t>TransGas SSDAKPUC EDA</t>
  </si>
  <si>
    <t>TransGas SSDAGMIT EDA</t>
  </si>
  <si>
    <t>TransGas SSDAEnbridge SWDA</t>
  </si>
  <si>
    <t>TransGas SSDAUnion SWDA</t>
  </si>
  <si>
    <t>TransGas SSDAChippawa</t>
  </si>
  <si>
    <t>TransGas SSDACornwall</t>
  </si>
  <si>
    <t>TransGas SSDAEast Hereford</t>
  </si>
  <si>
    <t>TransGas SSDAEmerson 1</t>
  </si>
  <si>
    <t>TransGas SSDAEmerson 2</t>
  </si>
  <si>
    <t>TransGas SSDAIroquois</t>
  </si>
  <si>
    <t>TransGas SSDAKirkwall</t>
  </si>
  <si>
    <t>TransGas SSDANapierville</t>
  </si>
  <si>
    <t>TransGas SSDANiagara Falls</t>
  </si>
  <si>
    <t>TransGas SSDANorth Bay Junction</t>
  </si>
  <si>
    <t>TransGas SSDAPhilipsburg</t>
  </si>
  <si>
    <t>TransGas SSDASpruce</t>
  </si>
  <si>
    <t>TransGas SSDASt. Clair</t>
  </si>
  <si>
    <t>TransGas SSDAWelwyn</t>
  </si>
  <si>
    <t>TransGas SSDADawn Export</t>
  </si>
  <si>
    <t>Tunis NDAEmpress</t>
  </si>
  <si>
    <t>Tunis NDATransGas SSDA</t>
  </si>
  <si>
    <t>Tunis NDACentram SSDA</t>
  </si>
  <si>
    <t>Tunis NDACentram MDA</t>
  </si>
  <si>
    <t>Tunis NDACentrat MDA</t>
  </si>
  <si>
    <t>Tunis NDAUnion WDA</t>
  </si>
  <si>
    <t>Tunis NDANipigon WDA</t>
  </si>
  <si>
    <t>Tunis NDAUnion NDA</t>
  </si>
  <si>
    <t>Tunis NDACalstock NDA</t>
  </si>
  <si>
    <t>Tunis NDATunis NDA</t>
  </si>
  <si>
    <t>Tunis NDAGMIT NDA</t>
  </si>
  <si>
    <t>Tunis NDAUnion SSMDA</t>
  </si>
  <si>
    <t>Tunis NDAUnion NCDA</t>
  </si>
  <si>
    <t>Tunis NDAUnion CDA</t>
  </si>
  <si>
    <t>Tunis NDAUnion ECDA</t>
  </si>
  <si>
    <t>Tunis NDAUnion EDA</t>
  </si>
  <si>
    <t>Tunis NDAUnion Parkway Belt</t>
  </si>
  <si>
    <t>Tunis NDAEnbridge CDA</t>
  </si>
  <si>
    <t>Tunis NDAEnbridge Parkway CDA</t>
  </si>
  <si>
    <t>Tunis NDAEnbridge EDA</t>
  </si>
  <si>
    <t>Tunis NDAKPUC EDA</t>
  </si>
  <si>
    <t>Tunis NDAGMIT EDA</t>
  </si>
  <si>
    <t>Tunis NDAEnbridge SWDA</t>
  </si>
  <si>
    <t>Tunis NDAUnion SWDA</t>
  </si>
  <si>
    <t>Tunis NDAChippawa</t>
  </si>
  <si>
    <t>Tunis NDACornwall</t>
  </si>
  <si>
    <t>Tunis NDAEast Hereford</t>
  </si>
  <si>
    <t>Tunis NDAEmerson 1</t>
  </si>
  <si>
    <t>Tunis NDAEmerson 2</t>
  </si>
  <si>
    <t>Tunis NDAIroquois</t>
  </si>
  <si>
    <t>Tunis NDAKirkwall</t>
  </si>
  <si>
    <t>Tunis NDANapierville</t>
  </si>
  <si>
    <t>Tunis NDANiagara Falls</t>
  </si>
  <si>
    <t>Tunis NDANorth Bay Junction</t>
  </si>
  <si>
    <t>Tunis NDAPhilipsburg</t>
  </si>
  <si>
    <t>Tunis NDASpruce</t>
  </si>
  <si>
    <t>Tunis NDASt. Clair</t>
  </si>
  <si>
    <t>Tunis NDAWelwyn</t>
  </si>
  <si>
    <t>Tunis NDADawn Export</t>
  </si>
  <si>
    <t>Union CDAEmpress</t>
  </si>
  <si>
    <t>Union CDATransGas SSDA</t>
  </si>
  <si>
    <t>Union CDACentram SSDA</t>
  </si>
  <si>
    <t>Union CDACentram MDA</t>
  </si>
  <si>
    <t>Union CDACentrat MDA</t>
  </si>
  <si>
    <t>Union CDAUnion WDA</t>
  </si>
  <si>
    <t>Union CDANipigon WDA</t>
  </si>
  <si>
    <t>Union CDAUnion NDA</t>
  </si>
  <si>
    <t>Union CDACalstock NDA</t>
  </si>
  <si>
    <t>Union CDATunis NDA</t>
  </si>
  <si>
    <t>Union CDAGMIT NDA</t>
  </si>
  <si>
    <t>Union CDAUnion SSMDA</t>
  </si>
  <si>
    <t>Union CDAUnion NCDA</t>
  </si>
  <si>
    <t>Union CDAUnion CDA</t>
  </si>
  <si>
    <t>Union CDAUnion ECDA</t>
  </si>
  <si>
    <t>Union CDAUnion EDA</t>
  </si>
  <si>
    <t>Union CDAUnion Parkway Belt</t>
  </si>
  <si>
    <t>Union CDAEnbridge CDA</t>
  </si>
  <si>
    <t>Union CDAEnbridge Parkway CDA</t>
  </si>
  <si>
    <t>Union CDAEnbridge EDA</t>
  </si>
  <si>
    <t>Union CDAKPUC EDA</t>
  </si>
  <si>
    <t>Union CDAGMIT EDA</t>
  </si>
  <si>
    <t>Union CDAEnbridge SWDA</t>
  </si>
  <si>
    <t>Union CDAUnion SWDA</t>
  </si>
  <si>
    <t>Union CDAChippawa</t>
  </si>
  <si>
    <t>Union CDACornwall</t>
  </si>
  <si>
    <t>Union CDAEast Hereford</t>
  </si>
  <si>
    <t>Union CDAEmerson 1</t>
  </si>
  <si>
    <t>Union CDAEmerson 2</t>
  </si>
  <si>
    <t>Union CDAIroquois</t>
  </si>
  <si>
    <t>Union CDAKirkwall</t>
  </si>
  <si>
    <t>Union CDANapierville</t>
  </si>
  <si>
    <t>Union CDANiagara Falls</t>
  </si>
  <si>
    <t>Union CDANorth Bay Junction</t>
  </si>
  <si>
    <t>Union CDAPhilipsburg</t>
  </si>
  <si>
    <t>Union CDASpruce</t>
  </si>
  <si>
    <t>Union CDASt. Clair</t>
  </si>
  <si>
    <t>Union CDAWelwyn</t>
  </si>
  <si>
    <t>Union CDADawn Export</t>
  </si>
  <si>
    <t>Union ECDAEmpress</t>
  </si>
  <si>
    <t>Union ECDATransGas SSDA</t>
  </si>
  <si>
    <t>Union ECDACentram SSDA</t>
  </si>
  <si>
    <t>Union ECDACentram MDA</t>
  </si>
  <si>
    <t>Union ECDACentrat MDA</t>
  </si>
  <si>
    <t>Union ECDAUnion WDA</t>
  </si>
  <si>
    <t>Union ECDANipigon WDA</t>
  </si>
  <si>
    <t>Union ECDAUnion NDA</t>
  </si>
  <si>
    <t>Union ECDACalstock NDA</t>
  </si>
  <si>
    <t>Union ECDATunis NDA</t>
  </si>
  <si>
    <t>Union ECDAGMIT NDA</t>
  </si>
  <si>
    <t>Union ECDAUnion SSMDA</t>
  </si>
  <si>
    <t>Union ECDAUnion NCDA</t>
  </si>
  <si>
    <t>Union ECDAUnion CDA</t>
  </si>
  <si>
    <t>Union ECDAUnion ECDA</t>
  </si>
  <si>
    <t>Union ECDAUnion EDA</t>
  </si>
  <si>
    <t>Union ECDAUnion Parkway Belt</t>
  </si>
  <si>
    <t>Union ECDAEnbridge CDA</t>
  </si>
  <si>
    <t>Union ECDAEnbridge Parkway CDA</t>
  </si>
  <si>
    <t>Union ECDAEnbridge EDA</t>
  </si>
  <si>
    <t>Union ECDAKPUC EDA</t>
  </si>
  <si>
    <t>Union ECDAGMIT EDA</t>
  </si>
  <si>
    <t>Union ECDAEnbridge SWDA</t>
  </si>
  <si>
    <t>Union ECDAUnion SWDA</t>
  </si>
  <si>
    <t>Union ECDAChippawa</t>
  </si>
  <si>
    <t>Union ECDACornwall</t>
  </si>
  <si>
    <t>Union ECDAEast Hereford</t>
  </si>
  <si>
    <t>Union ECDAEmerson 1</t>
  </si>
  <si>
    <t>Union ECDAEmerson 2</t>
  </si>
  <si>
    <t>Union ECDAIroquois</t>
  </si>
  <si>
    <t>Union ECDAKirkwall</t>
  </si>
  <si>
    <t>Union ECDANapierville</t>
  </si>
  <si>
    <t>Union ECDANiagara Falls</t>
  </si>
  <si>
    <t>Union ECDANorth Bay Junction</t>
  </si>
  <si>
    <t>Union ECDAPhilipsburg</t>
  </si>
  <si>
    <t>Union ECDASpruce</t>
  </si>
  <si>
    <t>Union ECDASt. Clair</t>
  </si>
  <si>
    <t>Union ECDAWelwyn</t>
  </si>
  <si>
    <t>Union ECDADawn Export</t>
  </si>
  <si>
    <t>Union DawnEmpress</t>
  </si>
  <si>
    <t>Union DawnTransGas SSDA</t>
  </si>
  <si>
    <t>Union DawnCentram SSDA</t>
  </si>
  <si>
    <t>Union DawnCentram MDA</t>
  </si>
  <si>
    <t>Union DawnCentrat MDA</t>
  </si>
  <si>
    <t>Union DawnUnion WDA</t>
  </si>
  <si>
    <t>Union DawnNipigon WDA</t>
  </si>
  <si>
    <t>Union DawnUnion NDA</t>
  </si>
  <si>
    <t>Union DawnCalstock NDA</t>
  </si>
  <si>
    <t>Union DawnTunis NDA</t>
  </si>
  <si>
    <t>Union DawnGMIT NDA</t>
  </si>
  <si>
    <t>Union DawnUnion SSMDA</t>
  </si>
  <si>
    <t>Union DawnUnion NCDA</t>
  </si>
  <si>
    <t>Union DawnUnion CDA</t>
  </si>
  <si>
    <t>Union DawnUnion ECDA</t>
  </si>
  <si>
    <t>Union DawnUnion EDA</t>
  </si>
  <si>
    <t>Union DawnUnion Parkway Belt</t>
  </si>
  <si>
    <t>Union DawnEnbridge CDA</t>
  </si>
  <si>
    <t>Union DawnEnbridge Parkway CDA</t>
  </si>
  <si>
    <t>Union DawnEnbridge EDA</t>
  </si>
  <si>
    <t>Union DawnKPUC EDA</t>
  </si>
  <si>
    <t>Union DawnGMIT EDA</t>
  </si>
  <si>
    <t>Union DawnEnbridge SWDA</t>
  </si>
  <si>
    <t>Union DawnUnion SWDA</t>
  </si>
  <si>
    <t>Union DawnChippawa</t>
  </si>
  <si>
    <t>Union DawnCornwall</t>
  </si>
  <si>
    <t>Union DawnEast Hereford</t>
  </si>
  <si>
    <t>Union DawnEmerson 1</t>
  </si>
  <si>
    <t>Union DawnEmerson 2</t>
  </si>
  <si>
    <t>Union DawnIroquois</t>
  </si>
  <si>
    <t>Union DawnKirkwall</t>
  </si>
  <si>
    <t>Union DawnNapierville</t>
  </si>
  <si>
    <t>Union DawnNiagara Falls</t>
  </si>
  <si>
    <t>Union DawnNorth Bay Junction</t>
  </si>
  <si>
    <t>Union DawnPhilipsburg</t>
  </si>
  <si>
    <t>Union DawnSpruce</t>
  </si>
  <si>
    <t>Union DawnSt. Clair</t>
  </si>
  <si>
    <t>Union DawnWelwyn</t>
  </si>
  <si>
    <t>Union DawnDawn Export</t>
  </si>
  <si>
    <t>Union EDAEmpress</t>
  </si>
  <si>
    <t>Union EDATransGas SSDA</t>
  </si>
  <si>
    <t>Union EDACentram SSDA</t>
  </si>
  <si>
    <t>Union EDACentram MDA</t>
  </si>
  <si>
    <t>Union EDACentrat MDA</t>
  </si>
  <si>
    <t>Union EDAUnion WDA</t>
  </si>
  <si>
    <t>Union EDANipigon WDA</t>
  </si>
  <si>
    <t>Union EDAUnion NDA</t>
  </si>
  <si>
    <t>Union EDACalstock NDA</t>
  </si>
  <si>
    <t>Union EDATunis NDA</t>
  </si>
  <si>
    <t>Union EDAGMIT NDA</t>
  </si>
  <si>
    <t>Union EDAUnion SSMDA</t>
  </si>
  <si>
    <t>Union EDAUnion NCDA</t>
  </si>
  <si>
    <t>Union EDAUnion CDA</t>
  </si>
  <si>
    <t>Union EDAUnion ECDA</t>
  </si>
  <si>
    <t>Union EDAUnion EDA</t>
  </si>
  <si>
    <t>Union EDAUnion Parkway Belt</t>
  </si>
  <si>
    <t>Union EDAEnbridge CDA</t>
  </si>
  <si>
    <t>Union EDAEnbridge Parkway CDA</t>
  </si>
  <si>
    <t>Union EDAEnbridge EDA</t>
  </si>
  <si>
    <t>Union EDAKPUC EDA</t>
  </si>
  <si>
    <t>Union EDAGMIT EDA</t>
  </si>
  <si>
    <t>Union EDAEnbridge SWDA</t>
  </si>
  <si>
    <t>Union EDAUnion SWDA</t>
  </si>
  <si>
    <t>Union EDAChippawa</t>
  </si>
  <si>
    <t>Union EDACornwall</t>
  </si>
  <si>
    <t>Union EDAEast Hereford</t>
  </si>
  <si>
    <t>Union EDAEmerson 1</t>
  </si>
  <si>
    <t>Union EDAEmerson 2</t>
  </si>
  <si>
    <t>Union EDAIroquois</t>
  </si>
  <si>
    <t>Union EDAKirkwall</t>
  </si>
  <si>
    <t>Union EDANapierville</t>
  </si>
  <si>
    <t>Union EDANiagara Falls</t>
  </si>
  <si>
    <t>Union EDANorth Bay Junction</t>
  </si>
  <si>
    <t>Union EDAPhilipsburg</t>
  </si>
  <si>
    <t>Union EDASpruce</t>
  </si>
  <si>
    <t>Union EDASt. Clair</t>
  </si>
  <si>
    <t>Union EDAWelwyn</t>
  </si>
  <si>
    <t>Union EDADawn Export</t>
  </si>
  <si>
    <t>Union NCDAEmpress</t>
  </si>
  <si>
    <t>Union NCDATransGas SSDA</t>
  </si>
  <si>
    <t>Union NCDACentram SSDA</t>
  </si>
  <si>
    <t>Union NCDACentram MDA</t>
  </si>
  <si>
    <t>Union NCDACentrat MDA</t>
  </si>
  <si>
    <t>Union NCDAUnion WDA</t>
  </si>
  <si>
    <t>Union NCDANipigon WDA</t>
  </si>
  <si>
    <t>Union NCDAUnion NDA</t>
  </si>
  <si>
    <t>Union NCDACalstock NDA</t>
  </si>
  <si>
    <t>Union NCDATunis NDA</t>
  </si>
  <si>
    <t>Union NCDAGMIT NDA</t>
  </si>
  <si>
    <t>Union NCDAUnion SSMDA</t>
  </si>
  <si>
    <t>Union NCDAUnion NCDA</t>
  </si>
  <si>
    <t>Union NCDAUnion CDA</t>
  </si>
  <si>
    <t>Union NCDAUnion ECDA</t>
  </si>
  <si>
    <t>Union NCDAUnion EDA</t>
  </si>
  <si>
    <t>Union NCDAUnion Parkway Belt</t>
  </si>
  <si>
    <t>Union NCDAEnbridge CDA</t>
  </si>
  <si>
    <t>Union NCDAEnbridge Parkway CDA</t>
  </si>
  <si>
    <t>Union NCDAEnbridge EDA</t>
  </si>
  <si>
    <t>Union NCDAKPUC EDA</t>
  </si>
  <si>
    <t>Union NCDAGMIT EDA</t>
  </si>
  <si>
    <t>Union NCDAEnbridge SWDA</t>
  </si>
  <si>
    <t>Union NCDAUnion SWDA</t>
  </si>
  <si>
    <t>Union NCDAChippawa</t>
  </si>
  <si>
    <t>Union NCDACornwall</t>
  </si>
  <si>
    <t>Union NCDAEast Hereford</t>
  </si>
  <si>
    <t>Union NCDAEmerson 1</t>
  </si>
  <si>
    <t>Union NCDAEmerson 2</t>
  </si>
  <si>
    <t>Union NCDAIroquois</t>
  </si>
  <si>
    <t>Union NCDAKirkwall</t>
  </si>
  <si>
    <t>Union NCDANapierville</t>
  </si>
  <si>
    <t>Union NCDANiagara Falls</t>
  </si>
  <si>
    <t>Union NCDANorth Bay Junction</t>
  </si>
  <si>
    <t>Union NCDAPhilipsburg</t>
  </si>
  <si>
    <t>Union NCDASpruce</t>
  </si>
  <si>
    <t>Union NCDASt. Clair</t>
  </si>
  <si>
    <t>Union NCDAWelwyn</t>
  </si>
  <si>
    <t>Union NCDADawn Export</t>
  </si>
  <si>
    <t>Union NDAEmpress</t>
  </si>
  <si>
    <t>Union NDATransGas SSDA</t>
  </si>
  <si>
    <t>Union NDACentram SSDA</t>
  </si>
  <si>
    <t>Union NDACentram MDA</t>
  </si>
  <si>
    <t>Union NDACentrat MDA</t>
  </si>
  <si>
    <t>Union NDAUnion WDA</t>
  </si>
  <si>
    <t>Union NDANipigon WDA</t>
  </si>
  <si>
    <t>Union NDAUnion NDA</t>
  </si>
  <si>
    <t>Union NDACalstock NDA</t>
  </si>
  <si>
    <t>Union NDATunis NDA</t>
  </si>
  <si>
    <t>Union NDAGMIT NDA</t>
  </si>
  <si>
    <t>Union NDAUnion SSMDA</t>
  </si>
  <si>
    <t>Union NDAUnion NCDA</t>
  </si>
  <si>
    <t>Union NDAUnion CDA</t>
  </si>
  <si>
    <t>Union NDAUnion ECDA</t>
  </si>
  <si>
    <t>Union NDAUnion EDA</t>
  </si>
  <si>
    <t>Union NDAUnion Parkway Belt</t>
  </si>
  <si>
    <t>Union NDAEnbridge CDA</t>
  </si>
  <si>
    <t>Union NDAEnbridge Parkway CDA</t>
  </si>
  <si>
    <t>Union NDAEnbridge EDA</t>
  </si>
  <si>
    <t>Union NDAKPUC EDA</t>
  </si>
  <si>
    <t>Union NDAGMIT EDA</t>
  </si>
  <si>
    <t>Union NDAEnbridge SWDA</t>
  </si>
  <si>
    <t>Union NDAUnion SWDA</t>
  </si>
  <si>
    <t>Union NDAChippawa</t>
  </si>
  <si>
    <t>Union NDACornwall</t>
  </si>
  <si>
    <t>Union NDAEast Hereford</t>
  </si>
  <si>
    <t>Union NDAEmerson 1</t>
  </si>
  <si>
    <t>Union NDAEmerson 2</t>
  </si>
  <si>
    <t>Union NDAIroquois</t>
  </si>
  <si>
    <t>Union NDAKirkwall</t>
  </si>
  <si>
    <t>Union NDANapierville</t>
  </si>
  <si>
    <t>Union NDANiagara Falls</t>
  </si>
  <si>
    <t>Union NDANorth Bay Junction</t>
  </si>
  <si>
    <t>Union NDAPhilipsburg</t>
  </si>
  <si>
    <t>Union NDASpruce</t>
  </si>
  <si>
    <t>Union NDASt. Clair</t>
  </si>
  <si>
    <t>Union NDAWelwyn</t>
  </si>
  <si>
    <t>Union NDADawn Export</t>
  </si>
  <si>
    <t>Union Parkway BeltEmpress</t>
  </si>
  <si>
    <t>Union Parkway BeltTransGas SSDA</t>
  </si>
  <si>
    <t>Union Parkway BeltCentram SSDA</t>
  </si>
  <si>
    <t>Union Parkway BeltCentram MDA</t>
  </si>
  <si>
    <t>Union Parkway BeltCentrat MDA</t>
  </si>
  <si>
    <t>Union Parkway BeltUnion WDA</t>
  </si>
  <si>
    <t>Union Parkway BeltNipigon WDA</t>
  </si>
  <si>
    <t>Union Parkway BeltUnion NDA</t>
  </si>
  <si>
    <t>Union Parkway BeltCalstock NDA</t>
  </si>
  <si>
    <t>Union Parkway BeltTunis NDA</t>
  </si>
  <si>
    <t>Union Parkway BeltGMIT NDA</t>
  </si>
  <si>
    <t>Union Parkway BeltUnion SSMDA</t>
  </si>
  <si>
    <t>Union Parkway BeltUnion NCDA</t>
  </si>
  <si>
    <t>Union Parkway BeltUnion CDA</t>
  </si>
  <si>
    <t>Union Parkway BeltUnion ECDA</t>
  </si>
  <si>
    <t>Union Parkway BeltUnion EDA</t>
  </si>
  <si>
    <t>Union Parkway BeltUnion Parkway Belt</t>
  </si>
  <si>
    <t>Union Parkway BeltEnbridge CDA</t>
  </si>
  <si>
    <t>Union Parkway BeltEnbridge Parkway CDA</t>
  </si>
  <si>
    <t>Union Parkway BeltEnbridge EDA</t>
  </si>
  <si>
    <t>Union Parkway BeltKPUC EDA</t>
  </si>
  <si>
    <t>Union Parkway BeltGMIT EDA</t>
  </si>
  <si>
    <t>Union Parkway BeltEnbridge SWDA</t>
  </si>
  <si>
    <t>Union Parkway BeltUnion SWDA</t>
  </si>
  <si>
    <t>Union Parkway BeltChippawa</t>
  </si>
  <si>
    <t>Union Parkway BeltCornwall</t>
  </si>
  <si>
    <t>Union Parkway BeltEast Hereford</t>
  </si>
  <si>
    <t>Union Parkway BeltEmerson 1</t>
  </si>
  <si>
    <t>Union Parkway BeltEmerson 2</t>
  </si>
  <si>
    <t>Union Parkway BeltIroquois</t>
  </si>
  <si>
    <t>Union Parkway BeltKirkwall</t>
  </si>
  <si>
    <t>Union Parkway BeltNapierville</t>
  </si>
  <si>
    <t>Union Parkway BeltNiagara Falls</t>
  </si>
  <si>
    <t>Union Parkway BeltNorth Bay Junction</t>
  </si>
  <si>
    <t>Union Parkway BeltPhilipsburg</t>
  </si>
  <si>
    <t>Union Parkway BeltSpruce</t>
  </si>
  <si>
    <t>Union Parkway BeltSt. Clair</t>
  </si>
  <si>
    <t>Union Parkway BeltWelwyn</t>
  </si>
  <si>
    <t>Union Parkway BeltDawn Export</t>
  </si>
  <si>
    <t>Union SSMDAEmpress</t>
  </si>
  <si>
    <t>Union SSMDATransGas SSDA</t>
  </si>
  <si>
    <t>Union SSMDACentram SSDA</t>
  </si>
  <si>
    <t>Union SSMDACentram MDA</t>
  </si>
  <si>
    <t>Union SSMDACentrat MDA</t>
  </si>
  <si>
    <t>Union SSMDAUnion WDA</t>
  </si>
  <si>
    <t>Union SSMDANipigon WDA</t>
  </si>
  <si>
    <t>Union SSMDAUnion NDA</t>
  </si>
  <si>
    <t>Union SSMDACalstock NDA</t>
  </si>
  <si>
    <t>Union SSMDATunis NDA</t>
  </si>
  <si>
    <t>Union SSMDAGMIT NDA</t>
  </si>
  <si>
    <t>Union SSMDAUnion SSMDA</t>
  </si>
  <si>
    <t>Union SSMDAUnion NCDA</t>
  </si>
  <si>
    <t>Union SSMDAUnion CDA</t>
  </si>
  <si>
    <t>Union SSMDAUnion ECDA</t>
  </si>
  <si>
    <t>Union SSMDAUnion EDA</t>
  </si>
  <si>
    <t>Union SSMDAUnion Parkway Belt</t>
  </si>
  <si>
    <t>Union SSMDAEnbridge CDA</t>
  </si>
  <si>
    <t>Union SSMDAEnbridge Parkway CDA</t>
  </si>
  <si>
    <t>Union SSMDAEnbridge EDA</t>
  </si>
  <si>
    <t>Union SSMDAKPUC EDA</t>
  </si>
  <si>
    <t>Union SSMDAGMIT EDA</t>
  </si>
  <si>
    <t>Union SSMDAEnbridge SWDA</t>
  </si>
  <si>
    <t>Union SSMDAUnion SWDA</t>
  </si>
  <si>
    <t>Union SSMDAChippawa</t>
  </si>
  <si>
    <t>Union SSMDACornwall</t>
  </si>
  <si>
    <t>Union SSMDAEast Hereford</t>
  </si>
  <si>
    <t>Union SSMDAEmerson 1</t>
  </si>
  <si>
    <t>Union SSMDAEmerson 2</t>
  </si>
  <si>
    <t>Union SSMDAIroquois</t>
  </si>
  <si>
    <t>Union SSMDAKirkwall</t>
  </si>
  <si>
    <t>Union SSMDANapierville</t>
  </si>
  <si>
    <t>Union SSMDANiagara Falls</t>
  </si>
  <si>
    <t>Union SSMDANorth Bay Junction</t>
  </si>
  <si>
    <t>Union SSMDAPhilipsburg</t>
  </si>
  <si>
    <t>Union SSMDASpruce</t>
  </si>
  <si>
    <t>Union SSMDASt. Clair</t>
  </si>
  <si>
    <t>Union SSMDAWelwyn</t>
  </si>
  <si>
    <t>Union SSMDADawn Export</t>
  </si>
  <si>
    <t>Union WDAEmpress</t>
  </si>
  <si>
    <t>Union WDATransGas SSDA</t>
  </si>
  <si>
    <t>Union WDACentram SSDA</t>
  </si>
  <si>
    <t>Union WDACentram MDA</t>
  </si>
  <si>
    <t>Union WDACentrat MDA</t>
  </si>
  <si>
    <t>Union WDAUnion WDA</t>
  </si>
  <si>
    <t>Union WDANipigon WDA</t>
  </si>
  <si>
    <t>Union WDAUnion NDA</t>
  </si>
  <si>
    <t>Union WDACalstock NDA</t>
  </si>
  <si>
    <t>Union WDATunis NDA</t>
  </si>
  <si>
    <t>Union WDAGMIT NDA</t>
  </si>
  <si>
    <t>Union WDAUnion SSMDA</t>
  </si>
  <si>
    <t>Union WDAUnion NCDA</t>
  </si>
  <si>
    <t>Union WDAUnion CDA</t>
  </si>
  <si>
    <t>Union WDAUnion ECDA</t>
  </si>
  <si>
    <t>Union WDAUnion EDA</t>
  </si>
  <si>
    <t>Union WDAUnion Parkway Belt</t>
  </si>
  <si>
    <t>Union WDAEnbridge CDA</t>
  </si>
  <si>
    <t>Union WDAEnbridge Parkway CDA</t>
  </si>
  <si>
    <t>Union WDAEnbridge EDA</t>
  </si>
  <si>
    <t>Union WDAKPUC EDA</t>
  </si>
  <si>
    <t>Union WDAGMIT EDA</t>
  </si>
  <si>
    <t>Union WDAEnbridge SWDA</t>
  </si>
  <si>
    <t>Union WDAUnion SWDA</t>
  </si>
  <si>
    <t>Union WDAChippawa</t>
  </si>
  <si>
    <t>Union WDACornwall</t>
  </si>
  <si>
    <t>Union WDAEast Hereford</t>
  </si>
  <si>
    <t>Union WDAEmerson 1</t>
  </si>
  <si>
    <t>Union WDAEmerson 2</t>
  </si>
  <si>
    <t>Union WDAIroquois</t>
  </si>
  <si>
    <t>Union WDAKirkwall</t>
  </si>
  <si>
    <t>Union WDANapierville</t>
  </si>
  <si>
    <t>Union WDANiagara Falls</t>
  </si>
  <si>
    <t>Union WDANorth Bay Junction</t>
  </si>
  <si>
    <t>Union WDAPhilipsburg</t>
  </si>
  <si>
    <t>Union WDASpruce</t>
  </si>
  <si>
    <t>Union WDASt. Clair</t>
  </si>
  <si>
    <t>Union WDAWelwyn</t>
  </si>
  <si>
    <t>Union WDADawn Export</t>
  </si>
  <si>
    <t>WelwynEmpress</t>
  </si>
  <si>
    <t>WelwynTransGas SSDA</t>
  </si>
  <si>
    <t>WelwynCentram SSDA</t>
  </si>
  <si>
    <t>WelwynCentram MDA</t>
  </si>
  <si>
    <t>WelwynCentrat MDA</t>
  </si>
  <si>
    <t>WelwynUnion WDA</t>
  </si>
  <si>
    <t>WelwynNipigon WDA</t>
  </si>
  <si>
    <t>WelwynUnion NDA</t>
  </si>
  <si>
    <t>WelwynCalstock NDA</t>
  </si>
  <si>
    <t>WelwynTunis NDA</t>
  </si>
  <si>
    <t>WelwynGMIT NDA</t>
  </si>
  <si>
    <t>WelwynUnion SSMDA</t>
  </si>
  <si>
    <t>WelwynUnion NCDA</t>
  </si>
  <si>
    <t>WelwynUnion CDA</t>
  </si>
  <si>
    <t>WelwynUnion ECDA</t>
  </si>
  <si>
    <t>WelwynUnion EDA</t>
  </si>
  <si>
    <t>WelwynUnion Parkway Belt</t>
  </si>
  <si>
    <t>WelwynEnbridge CDA</t>
  </si>
  <si>
    <t>WelwynEnbridge Parkway CDA</t>
  </si>
  <si>
    <t>WelwynEnbridge EDA</t>
  </si>
  <si>
    <t>WelwynKPUC EDA</t>
  </si>
  <si>
    <t>WelwynGMIT EDA</t>
  </si>
  <si>
    <t>WelwynEnbridge SWDA</t>
  </si>
  <si>
    <t>WelwynUnion SWDA</t>
  </si>
  <si>
    <t>WelwynChippawa</t>
  </si>
  <si>
    <t>WelwynCornwall</t>
  </si>
  <si>
    <t>WelwynEast Hereford</t>
  </si>
  <si>
    <t>WelwynEmerson 1</t>
  </si>
  <si>
    <t>WelwynEmerson 2</t>
  </si>
  <si>
    <t>WelwynIroquois</t>
  </si>
  <si>
    <t>WelwynKirkwall</t>
  </si>
  <si>
    <t>WelwynNapierville</t>
  </si>
  <si>
    <t>WelwynNiagara Falls</t>
  </si>
  <si>
    <t>WelwynNorth Bay Junction</t>
  </si>
  <si>
    <t>WelwynPhilipsburg</t>
  </si>
  <si>
    <t>WelwynSpruce</t>
  </si>
  <si>
    <t>WelwynSt. Clair</t>
  </si>
  <si>
    <t>WelwynWelwyn</t>
  </si>
  <si>
    <t>WelwynDawn Export</t>
  </si>
  <si>
    <t>WhitewoodEmpress</t>
  </si>
  <si>
    <t>WhitewoodTransGas SSDA</t>
  </si>
  <si>
    <t>WhitewoodCentram SSDA</t>
  </si>
  <si>
    <t>WhitewoodCentram MDA</t>
  </si>
  <si>
    <t>WhitewoodCentrat MDA</t>
  </si>
  <si>
    <t>WhitewoodUnion WDA</t>
  </si>
  <si>
    <t>WhitewoodNipigon WDA</t>
  </si>
  <si>
    <t>WhitewoodUnion NDA</t>
  </si>
  <si>
    <t>WhitewoodCalstock NDA</t>
  </si>
  <si>
    <t>WhitewoodTunis NDA</t>
  </si>
  <si>
    <t>WhitewoodGMIT NDA</t>
  </si>
  <si>
    <t>WhitewoodUnion SSMDA</t>
  </si>
  <si>
    <t>WhitewoodUnion NCDA</t>
  </si>
  <si>
    <t>WhitewoodUnion CDA</t>
  </si>
  <si>
    <t>WhitewoodUnion ECDA</t>
  </si>
  <si>
    <t>WhitewoodUnion EDA</t>
  </si>
  <si>
    <t>WhitewoodUnion Parkway Belt</t>
  </si>
  <si>
    <t>WhitewoodEnbridge CDA</t>
  </si>
  <si>
    <t>WhitewoodEnbridge Parkway CDA</t>
  </si>
  <si>
    <t>WhitewoodEnbridge EDA</t>
  </si>
  <si>
    <t>WhitewoodKPUC EDA</t>
  </si>
  <si>
    <t>WhitewoodGMIT EDA</t>
  </si>
  <si>
    <t>WhitewoodEnbridge SWDA</t>
  </si>
  <si>
    <t>WhitewoodUnion SWDA</t>
  </si>
  <si>
    <t>WhitewoodChippawa</t>
  </si>
  <si>
    <t>WhitewoodCornwall</t>
  </si>
  <si>
    <t>WhitewoodEast Hereford</t>
  </si>
  <si>
    <t>WhitewoodEmerson 1</t>
  </si>
  <si>
    <t>WhitewoodEmerson 2</t>
  </si>
  <si>
    <t>WhitewoodIroquois</t>
  </si>
  <si>
    <t>WhitewoodKirkwall</t>
  </si>
  <si>
    <t>WhitewoodNapierville</t>
  </si>
  <si>
    <t>WhitewoodNiagara Falls</t>
  </si>
  <si>
    <t>WhitewoodNorth Bay Junction</t>
  </si>
  <si>
    <t>WhitewoodPhilipsburg</t>
  </si>
  <si>
    <t>WhitewoodSpruce</t>
  </si>
  <si>
    <t>WhitewoodSt. Clair</t>
  </si>
  <si>
    <t>WhitewoodWelwyn</t>
  </si>
  <si>
    <t>WhitewoodDawn Export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</si>
</sst>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0_);[Red]\(#,##0\);&quot;-  &quot;"/>
    <numFmt numFmtId="167" formatCode="#,##0_)\ \ ;[Red]\(#,##0\)\ \ "/>
    <numFmt numFmtId="168" formatCode="_(&quot;$&quot;* #,##0.0_);_(&quot;$&quot;* \(#,##0.0\);_(&quot;$&quot;* &quot;-&quot;??_);_(@_)"/>
    <numFmt numFmtId="169" formatCode="_(* #,##0.0_);_(* \(#,##0.0\);_(* &quot;-&quot;??_);_(@_)"/>
    <numFmt numFmtId="170" formatCode="0.000"/>
    <numFmt numFmtId="171" formatCode="_([$€-2]* #,##0.00_);_([$€-2]* \(#,##0.00\);_([$€-2]* &quot;-&quot;??_)"/>
    <numFmt numFmtId="172" formatCode="0.00000"/>
    <numFmt numFmtId="173" formatCode="#,##0.0\ ;\(#,##0.0\)"/>
    <numFmt numFmtId="174" formatCode="0.0000"/>
    <numFmt numFmtId="175" formatCode="_(&quot;$&quot;* #,##0_);_(&quot;$&quot;* \(#,##0\);_(&quot;$&quot;* &quot;-&quot;??_);_(@_)"/>
    <numFmt numFmtId="176" formatCode="#,##0.00000"/>
    <numFmt numFmtId="180" formatCode="_(* #,##0.000_);_(* \(#,##0.000\);_(* &quot;-&quot;??_);_(@_)"/>
    <numFmt numFmtId="181" formatCode="_(* #,##0.0000_);_(* \(#,##0.0000\);_(* &quot;-&quot;??_);_(@_)"/>
    <numFmt numFmtId="183" formatCode="_(* #,##0.00000_);_(* \(#,##0.00000\);_(* &quot;-&quot;??_);_(@_)"/>
    <numFmt numFmtId="191" formatCode="#,##0.0000"/>
    <numFmt numFmtId="192" formatCode="#,##0.000000000_);[Red]\(#,##0.000000000\)"/>
    <numFmt numFmtId="193" formatCode="_(* #,##0.000_);_(* \(#,##0.000\);_(* &quot;-&quot;???_);_(@_)"/>
    <numFmt numFmtId="194" formatCode="_(&quot;$&quot;* #,##0.0000_);_(&quot;$&quot;* \(#,##0.0000\);_(&quot;$&quot;* &quot;-&quot;??_);_(@_)"/>
    <numFmt numFmtId="195" formatCode="#,##0\ ;\(#,##0\)"/>
    <numFmt numFmtId="196" formatCode="_(&quot;$&quot;* #,##0.000_);_(&quot;$&quot;* \(#,##0.000\);_(&quot;$&quot;* &quot;-&quot;??_);_(@_)"/>
    <numFmt numFmtId="197" formatCode="0.000000E+00"/>
    <numFmt numFmtId="199" formatCode="0.0%"/>
    <numFmt numFmtId="200" formatCode="_-* #,##0.00_-;\-* #,##0.00_-;_-* &quot;-&quot;??_-;_-@_-"/>
    <numFmt numFmtId="202" formatCode="#,##0;\(#,##0\)"/>
    <numFmt numFmtId="206" formatCode="0.000%"/>
    <numFmt numFmtId="209" formatCode="#,##0.00000_);[Red]\(#,##0.00000\)"/>
    <numFmt numFmtId="210" formatCode="#,##0.000000_);[Red]\(#,##0.000000\)"/>
    <numFmt numFmtId="217" formatCode="###\ ###\ ##0\ "/>
    <numFmt numFmtId="218" formatCode="mmmm\-yyyy"/>
    <numFmt numFmtId="219" formatCode="#,##0\ \ ;\(#,##0\)"/>
    <numFmt numFmtId="220" formatCode=".000"/>
    <numFmt numFmtId="221" formatCode="&quot;$&quot;0.000"/>
    <numFmt numFmtId="222" formatCode="###\ ###\ ##0\ ;\(###\ ###\ ##0\)"/>
  </numFmts>
  <fonts count="98">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0"/>
      <name val="Arial"/>
      <family val="2"/>
    </font>
    <font>
      <sz val="11"/>
      <color indexed="9"/>
      <name val="Calibri"/>
      <family val="2"/>
    </font>
    <font>
      <sz val="9"/>
      <name val="Helv"/>
    </font>
    <font>
      <sz val="11"/>
      <color indexed="8"/>
      <name val="Calibri"/>
      <family val="2"/>
    </font>
    <font>
      <sz val="11"/>
      <name val="Times New Roman"/>
      <family val="1"/>
    </font>
    <font>
      <sz val="11"/>
      <color indexed="20"/>
      <name val="Calibri"/>
      <family val="2"/>
    </font>
    <font>
      <sz val="12"/>
      <name val="Times New Roman"/>
      <family val="1"/>
    </font>
    <font>
      <b/>
      <sz val="11"/>
      <color indexed="10"/>
      <name val="Calibri"/>
      <family val="2"/>
    </font>
    <font>
      <b/>
      <sz val="11"/>
      <color indexed="9"/>
      <name val="Calibri"/>
      <family val="2"/>
    </font>
    <font>
      <sz val="11"/>
      <color indexed="18"/>
      <name val="Helvetica"/>
      <family val="2"/>
    </font>
    <font>
      <sz val="10"/>
      <name val="Geneva"/>
      <family val="2"/>
    </font>
    <font>
      <i/>
      <sz val="11"/>
      <color indexed="23"/>
      <name val="Calibri"/>
      <family val="2"/>
    </font>
    <font>
      <sz val="10"/>
      <name val="Times"/>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2"/>
      <color indexed="8"/>
      <name val="Helvetica"/>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trike/>
      <sz val="11"/>
      <name val="Helv"/>
    </font>
    <font>
      <sz val="12"/>
      <name val="Helvetica"/>
      <family val="2"/>
    </font>
    <font>
      <b/>
      <sz val="11"/>
      <name val="Helvetica"/>
      <family val="2"/>
    </font>
    <font>
      <sz val="9"/>
      <name val="Helvetica"/>
      <family val="2"/>
    </font>
    <font>
      <sz val="11"/>
      <name val="Helv"/>
      <family val="2"/>
    </font>
    <font>
      <sz val="11"/>
      <color indexed="8"/>
      <name val="Helv"/>
    </font>
    <font>
      <b/>
      <sz val="11"/>
      <color indexed="8"/>
      <name val="Calibri"/>
      <family val="2"/>
    </font>
    <font>
      <sz val="12"/>
      <color indexed="8"/>
      <name val="Helvetica"/>
      <family val="2"/>
    </font>
    <font>
      <sz val="10"/>
      <name val="Courier"/>
      <family val="3"/>
    </font>
    <font>
      <sz val="10"/>
      <color theme="1"/>
      <name val="Calibri"/>
      <family val="2"/>
      <scheme val="minor"/>
    </font>
    <font>
      <sz val="9"/>
      <name val="Arial"/>
      <family val="2"/>
    </font>
    <font>
      <b/>
      <u/>
      <sz val="10"/>
      <name val="Arial"/>
      <family val="2"/>
    </font>
    <font>
      <sz val="10"/>
      <color indexed="8"/>
      <name val="Arial"/>
      <family val="2"/>
    </font>
    <font>
      <sz val="11"/>
      <name val="Arial"/>
      <family val="2"/>
    </font>
    <font>
      <b/>
      <sz val="11"/>
      <color indexed="52"/>
      <name val="Calibri"/>
      <family val="2"/>
    </font>
    <font>
      <sz val="11"/>
      <color indexed="8"/>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name val="CG Omega"/>
      <family val="2"/>
    </font>
    <font>
      <b/>
      <sz val="18"/>
      <color indexed="56"/>
      <name val="Cambria"/>
      <family val="2"/>
    </font>
    <font>
      <b/>
      <u/>
      <sz val="11"/>
      <color theme="1"/>
      <name val="Calibri"/>
      <family val="2"/>
      <scheme val="minor"/>
    </font>
    <font>
      <sz val="9"/>
      <name val="Geneva"/>
      <family val="2"/>
    </font>
    <font>
      <sz val="10"/>
      <color indexed="10"/>
      <name val="Arial"/>
      <family val="2"/>
    </font>
    <font>
      <sz val="11"/>
      <color indexed="10"/>
      <name val="Arial"/>
      <family val="2"/>
    </font>
    <font>
      <u/>
      <sz val="10"/>
      <name val="Arial"/>
      <family val="2"/>
    </font>
    <font>
      <sz val="12"/>
      <name val="Arial"/>
      <family val="2"/>
    </font>
    <font>
      <b/>
      <sz val="11"/>
      <name val="Arial"/>
      <family val="2"/>
    </font>
    <font>
      <u/>
      <sz val="11"/>
      <name val="Arial"/>
      <family val="2"/>
    </font>
    <font>
      <sz val="12"/>
      <color indexed="10"/>
      <name val="Arial"/>
      <family val="2"/>
    </font>
    <font>
      <b/>
      <sz val="12"/>
      <name val="Arial"/>
      <family val="2"/>
    </font>
    <font>
      <b/>
      <u/>
      <sz val="12"/>
      <name val="Arial"/>
      <family val="2"/>
    </font>
    <font>
      <sz val="10"/>
      <color indexed="55"/>
      <name val="Arial"/>
      <family val="2"/>
    </font>
    <font>
      <b/>
      <u/>
      <sz val="11"/>
      <name val="Arial"/>
      <family val="2"/>
    </font>
    <font>
      <sz val="11"/>
      <color indexed="9"/>
      <name val="Arial"/>
      <family val="2"/>
    </font>
    <font>
      <b/>
      <sz val="14"/>
      <name val="Arial"/>
      <family val="2"/>
    </font>
    <font>
      <sz val="11"/>
      <color rgb="FF006100"/>
      <name val="Calibri"/>
      <family val="2"/>
      <scheme val="minor"/>
    </font>
    <font>
      <b/>
      <sz val="11"/>
      <color rgb="FF006100"/>
      <name val="Calibri"/>
      <family val="2"/>
      <scheme val="minor"/>
    </font>
    <font>
      <sz val="11"/>
      <color rgb="FF9C0006"/>
      <name val="Calibri"/>
      <family val="2"/>
      <scheme val="minor"/>
    </font>
    <font>
      <sz val="11"/>
      <name val="Calibri"/>
      <family val="2"/>
      <scheme val="minor"/>
    </font>
    <font>
      <b/>
      <sz val="11"/>
      <color theme="5" tint="-0.249977111117893"/>
      <name val="Calibri"/>
      <family val="2"/>
      <scheme val="minor"/>
    </font>
    <font>
      <sz val="11"/>
      <color rgb="FFFF0000"/>
      <name val="Arial"/>
      <family val="2"/>
    </font>
    <font>
      <sz val="10"/>
      <color rgb="FFFF0000"/>
      <name val="Arial"/>
      <family val="2"/>
    </font>
    <font>
      <b/>
      <sz val="10"/>
      <color indexed="22"/>
      <name val="Arial"/>
      <family val="2"/>
    </font>
    <font>
      <sz val="8"/>
      <name val="Arial"/>
      <family val="2"/>
    </font>
    <font>
      <sz val="10"/>
      <color indexed="22"/>
      <name val="Arial"/>
      <family val="2"/>
    </font>
    <font>
      <sz val="10"/>
      <color theme="3" tint="0.39997558519241921"/>
      <name val="Arial"/>
      <family val="2"/>
    </font>
    <font>
      <sz val="10"/>
      <color indexed="9"/>
      <name val="Arial"/>
      <family val="2"/>
    </font>
    <font>
      <sz val="10"/>
      <color indexed="14"/>
      <name val="Arial"/>
      <family val="2"/>
    </font>
    <font>
      <b/>
      <sz val="10"/>
      <color indexed="9"/>
      <name val="Arial"/>
      <family val="2"/>
    </font>
    <font>
      <sz val="9"/>
      <color indexed="81"/>
      <name val="Tahoma"/>
      <family val="2"/>
    </font>
    <font>
      <b/>
      <sz val="9"/>
      <color indexed="81"/>
      <name val="Tahoma"/>
      <family val="2"/>
    </font>
    <font>
      <b/>
      <sz val="8"/>
      <color indexed="81"/>
      <name val="Tahoma"/>
      <family val="2"/>
    </font>
    <font>
      <sz val="8"/>
      <color indexed="81"/>
      <name val="Tahoma"/>
      <family val="2"/>
    </font>
    <font>
      <sz val="10"/>
      <color indexed="23"/>
      <name val="Arial"/>
      <family val="2"/>
    </font>
    <font>
      <sz val="10"/>
      <color theme="3" tint="0.59999389629810485"/>
      <name val="Arial"/>
      <family val="2"/>
    </font>
    <font>
      <b/>
      <sz val="10"/>
      <color indexed="14"/>
      <name val="Arial"/>
      <family val="2"/>
    </font>
    <font>
      <b/>
      <sz val="10"/>
      <color indexed="10"/>
      <name val="Arial"/>
      <family val="2"/>
    </font>
    <font>
      <sz val="10"/>
      <color indexed="54"/>
      <name val="Arial"/>
      <family val="2"/>
    </font>
    <font>
      <b/>
      <sz val="10"/>
      <color indexed="54"/>
      <name val="Arial"/>
      <family val="2"/>
    </font>
    <font>
      <sz val="11"/>
      <color theme="0"/>
      <name val="Arial"/>
      <family val="2"/>
    </font>
    <font>
      <b/>
      <i/>
      <sz val="36"/>
      <name val="Helvetica"/>
      <family val="2"/>
    </font>
    <font>
      <sz val="10"/>
      <name val="Helvetica"/>
      <family val="2"/>
    </font>
    <font>
      <sz val="9"/>
      <color indexed="12"/>
      <name val="Helvetica"/>
      <family val="2"/>
    </font>
    <font>
      <b/>
      <sz val="9"/>
      <name val="Helvetica"/>
      <family val="2"/>
    </font>
    <font>
      <vertAlign val="superscript"/>
      <sz val="9"/>
      <name val="Helvetica"/>
      <family val="2"/>
    </font>
    <font>
      <b/>
      <sz val="10"/>
      <color theme="1"/>
      <name val="Calibri"/>
      <family val="2"/>
      <scheme val="minor"/>
    </font>
    <font>
      <sz val="11"/>
      <color theme="0" tint="-0.499984740745262"/>
      <name val="Calibri"/>
      <family val="2"/>
      <scheme val="minor"/>
    </font>
  </fonts>
  <fills count="4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indexed="63"/>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indexed="10"/>
        <bgColor indexed="64"/>
      </patternFill>
    </fill>
    <fill>
      <patternFill patternType="solid">
        <fgColor rgb="FFFFC000"/>
        <bgColor indexed="64"/>
      </patternFill>
    </fill>
    <fill>
      <patternFill patternType="solid">
        <fgColor theme="9" tint="0.59999389629810485"/>
        <bgColor indexed="64"/>
      </patternFill>
    </fill>
    <fill>
      <patternFill patternType="solid">
        <fgColor indexed="8"/>
        <bgColor indexed="64"/>
      </patternFill>
    </fill>
    <fill>
      <patternFill patternType="solid">
        <fgColor indexed="12"/>
        <bgColor indexed="64"/>
      </patternFill>
    </fill>
    <fill>
      <patternFill patternType="solid">
        <fgColor indexed="42"/>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68">
    <xf numFmtId="0" fontId="0" fillId="0" borderId="0"/>
    <xf numFmtId="43" fontId="1" fillId="0" borderId="0" applyFont="0" applyFill="0" applyBorder="0" applyAlignment="0" applyProtection="0"/>
    <xf numFmtId="0" fontId="4"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166" fontId="9" fillId="0" borderId="0"/>
    <xf numFmtId="0" fontId="10" fillId="15" borderId="0" applyNumberFormat="0" applyBorder="0" applyAlignment="0" applyProtection="0"/>
    <xf numFmtId="167" fontId="11" fillId="0" borderId="0"/>
    <xf numFmtId="0" fontId="12" fillId="16" borderId="1" applyNumberFormat="0" applyAlignment="0" applyProtection="0"/>
    <xf numFmtId="0" fontId="13" fillId="17" borderId="2" applyNumberFormat="0" applyAlignment="0" applyProtection="0"/>
    <xf numFmtId="0" fontId="14" fillId="0" borderId="0" applyNumberFormat="0" applyFont="0" applyBorder="0"/>
    <xf numFmtId="43" fontId="5" fillId="0" borderId="0" applyFont="0" applyFill="0" applyBorder="0" applyAlignment="0" applyProtection="0"/>
    <xf numFmtId="3" fontId="5" fillId="0" borderId="0" applyFont="0" applyFill="0" applyBorder="0" applyAlignment="0" applyProtection="0"/>
    <xf numFmtId="0" fontId="3" fillId="0" borderId="3">
      <alignment horizontal="center"/>
    </xf>
    <xf numFmtId="8" fontId="15" fillId="0" borderId="0" applyFon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xf numFmtId="37" fontId="17" fillId="0" borderId="0" applyFill="0" applyBorder="0" applyAlignment="0"/>
    <xf numFmtId="165" fontId="17" fillId="0" borderId="0" applyFill="0" applyBorder="0" applyAlignment="0"/>
    <xf numFmtId="0" fontId="18" fillId="6"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0" applyNumberFormat="0" applyFont="0"/>
    <xf numFmtId="0" fontId="24" fillId="0" borderId="7" applyNumberFormat="0" applyFill="0" applyAlignment="0" applyProtection="0"/>
    <xf numFmtId="44" fontId="5" fillId="0" borderId="0" applyFont="0" applyFill="0" applyBorder="0" applyAlignment="0" applyProtection="0"/>
    <xf numFmtId="0" fontId="25" fillId="7" borderId="0" applyNumberFormat="0" applyBorder="0" applyAlignment="0" applyProtection="0"/>
    <xf numFmtId="0" fontId="5" fillId="0" borderId="0"/>
    <xf numFmtId="0" fontId="7" fillId="4" borderId="8" applyNumberFormat="0" applyFont="0" applyAlignment="0" applyProtection="0"/>
    <xf numFmtId="0" fontId="26" fillId="16" borderId="9" applyNumberFormat="0" applyAlignment="0" applyProtection="0"/>
    <xf numFmtId="9" fontId="5" fillId="0" borderId="0" applyFont="0" applyFill="0" applyBorder="0" applyAlignment="0" applyProtection="0"/>
    <xf numFmtId="0" fontId="27" fillId="0" borderId="0" applyNumberFormat="0" applyFill="0" applyBorder="0" applyAlignment="0" applyProtection="0"/>
    <xf numFmtId="0" fontId="28" fillId="0" borderId="0" applyNumberFormat="0" applyFont="0" applyBorder="0">
      <alignment vertical="top" wrapText="1"/>
    </xf>
    <xf numFmtId="0" fontId="29" fillId="0" borderId="0" applyNumberFormat="0" applyFont="0" applyBorder="0">
      <alignment vertical="top" wrapText="1"/>
    </xf>
    <xf numFmtId="0" fontId="30" fillId="0" borderId="0" applyNumberFormat="0" applyFont="0">
      <alignment vertical="top" wrapText="1"/>
    </xf>
    <xf numFmtId="0" fontId="31" fillId="0" borderId="0" applyNumberFormat="0" applyFont="0" applyBorder="0" applyAlignment="0">
      <alignment vertical="top"/>
    </xf>
    <xf numFmtId="0" fontId="32" fillId="0" borderId="0" applyNumberFormat="0" applyBorder="0">
      <alignment vertical="top" wrapText="1"/>
    </xf>
    <xf numFmtId="0" fontId="33" fillId="0" borderId="0">
      <alignment vertical="top" wrapText="1"/>
    </xf>
    <xf numFmtId="0" fontId="34" fillId="0" borderId="10" applyNumberFormat="0" applyFill="0" applyAlignment="0" applyProtection="0"/>
    <xf numFmtId="0" fontId="35" fillId="0" borderId="0" applyNumberFormat="0" applyAlignment="0"/>
    <xf numFmtId="0" fontId="24" fillId="0" borderId="0" applyNumberFormat="0" applyFill="0" applyBorder="0" applyAlignment="0" applyProtection="0"/>
    <xf numFmtId="0" fontId="15" fillId="0" borderId="0">
      <alignment wrapText="1"/>
    </xf>
    <xf numFmtId="0" fontId="36" fillId="0" borderId="0"/>
    <xf numFmtId="43" fontId="8" fillId="0" borderId="0" applyFont="0" applyFill="0" applyBorder="0" applyAlignment="0" applyProtection="0"/>
    <xf numFmtId="0" fontId="37" fillId="0" borderId="0"/>
    <xf numFmtId="43" fontId="37"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xf numFmtId="0" fontId="8" fillId="18" borderId="0" applyNumberFormat="0" applyBorder="0" applyAlignment="0" applyProtection="0"/>
    <xf numFmtId="0" fontId="8" fillId="8" borderId="0" applyNumberFormat="0" applyBorder="0" applyAlignment="0" applyProtection="0"/>
    <xf numFmtId="0" fontId="8" fillId="19"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6" fillId="21" borderId="0" applyNumberFormat="0" applyBorder="0" applyAlignment="0" applyProtection="0"/>
    <xf numFmtId="0" fontId="6" fillId="3"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14" borderId="0" applyNumberFormat="0" applyBorder="0" applyAlignment="0" applyProtection="0"/>
    <xf numFmtId="0" fontId="6" fillId="25" borderId="0" applyNumberFormat="0" applyBorder="0" applyAlignment="0" applyProtection="0"/>
    <xf numFmtId="0" fontId="6" fillId="22" borderId="0" applyNumberFormat="0" applyBorder="0" applyAlignment="0" applyProtection="0"/>
    <xf numFmtId="0" fontId="6" fillId="9" borderId="0" applyNumberFormat="0" applyBorder="0" applyAlignment="0" applyProtection="0"/>
    <xf numFmtId="0" fontId="10" fillId="8" borderId="0" applyNumberFormat="0" applyBorder="0" applyAlignment="0" applyProtection="0"/>
    <xf numFmtId="0" fontId="40" fillId="0" borderId="0"/>
    <xf numFmtId="0" fontId="42" fillId="26" borderId="1" applyNumberFormat="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3" fillId="0" borderId="0" applyFont="0" applyFill="0" applyBorder="0" applyAlignment="0" applyProtection="0"/>
    <xf numFmtId="44" fontId="5" fillId="0" borderId="0" applyFont="0" applyFill="0" applyBorder="0" applyAlignment="0" applyProtection="0"/>
    <xf numFmtId="171" fontId="41" fillId="0" borderId="0" applyFont="0" applyFill="0" applyBorder="0" applyAlignment="0" applyProtection="0"/>
    <xf numFmtId="0" fontId="18" fillId="19" borderId="0" applyNumberFormat="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2" fillId="5" borderId="1" applyNumberFormat="0" applyAlignment="0" applyProtection="0"/>
    <xf numFmtId="0" fontId="47" fillId="0" borderId="15" applyNumberFormat="0" applyFill="0" applyAlignment="0" applyProtection="0"/>
    <xf numFmtId="43" fontId="5" fillId="0" borderId="0" applyFont="0" applyFill="0" applyBorder="0" applyAlignment="0" applyProtection="0"/>
    <xf numFmtId="0" fontId="48" fillId="7" borderId="0" applyNumberFormat="0" applyBorder="0" applyAlignment="0" applyProtection="0"/>
    <xf numFmtId="2" fontId="8" fillId="0" borderId="0"/>
    <xf numFmtId="37"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 fontId="5" fillId="0" borderId="0"/>
    <xf numFmtId="2" fontId="5" fillId="0" borderId="0"/>
    <xf numFmtId="2"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37" fontId="43" fillId="0" borderId="0"/>
    <xf numFmtId="0" fontId="40" fillId="0" borderId="0">
      <alignment vertical="top"/>
    </xf>
    <xf numFmtId="0" fontId="40" fillId="0" borderId="0">
      <alignment vertical="top"/>
    </xf>
    <xf numFmtId="2" fontId="8" fillId="0" borderId="0"/>
    <xf numFmtId="0" fontId="8" fillId="0" borderId="0"/>
    <xf numFmtId="0" fontId="5" fillId="0" borderId="0"/>
    <xf numFmtId="2" fontId="8" fillId="0" borderId="0"/>
    <xf numFmtId="2" fontId="8" fillId="0" borderId="0"/>
    <xf numFmtId="2" fontId="8" fillId="0" borderId="0"/>
    <xf numFmtId="0" fontId="40" fillId="0" borderId="0"/>
    <xf numFmtId="0" fontId="41" fillId="0" borderId="0"/>
    <xf numFmtId="0" fontId="7" fillId="0" borderId="0"/>
    <xf numFmtId="0" fontId="5" fillId="4" borderId="8" applyNumberFormat="0" applyFont="0" applyAlignment="0" applyProtection="0"/>
    <xf numFmtId="10" fontId="49" fillId="0" borderId="0" applyAlignment="0"/>
    <xf numFmtId="0" fontId="26" fillId="26" borderId="9" applyNumberFormat="0" applyAlignment="0" applyProtection="0"/>
    <xf numFmtId="9" fontId="8" fillId="0" borderId="0" applyFont="0" applyFill="0" applyBorder="0" applyAlignment="0" applyProtection="0"/>
    <xf numFmtId="0" fontId="50" fillId="0" borderId="0" applyNumberFormat="0" applyFill="0" applyBorder="0" applyAlignment="0" applyProtection="0"/>
    <xf numFmtId="0" fontId="34" fillId="0" borderId="16" applyNumberFormat="0" applyFill="0" applyAlignment="0" applyProtection="0"/>
    <xf numFmtId="0" fontId="4"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9" fontId="1" fillId="0" borderId="0" applyFont="0" applyFill="0" applyBorder="0" applyAlignment="0" applyProtection="0"/>
    <xf numFmtId="0" fontId="8" fillId="0" borderId="0"/>
    <xf numFmtId="0" fontId="4" fillId="0" borderId="0"/>
    <xf numFmtId="40" fontId="41" fillId="0" borderId="0" applyFont="0" applyFill="0" applyBorder="0" applyAlignment="0" applyProtection="0"/>
    <xf numFmtId="40"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52" fillId="0" borderId="0"/>
    <xf numFmtId="0" fontId="7" fillId="0" borderId="0"/>
    <xf numFmtId="43" fontId="4"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0" fontId="4" fillId="0" borderId="0"/>
    <xf numFmtId="0" fontId="66" fillId="28" borderId="0" applyNumberFormat="0" applyBorder="0" applyAlignment="0" applyProtection="0"/>
    <xf numFmtId="0" fontId="68" fillId="29"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40"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4" fillId="0" borderId="0"/>
    <xf numFmtId="0" fontId="1"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2" fontId="1" fillId="0" borderId="0"/>
    <xf numFmtId="0" fontId="37" fillId="0" borderId="0"/>
    <xf numFmtId="0" fontId="4" fillId="0" borderId="0"/>
    <xf numFmtId="0" fontId="4" fillId="0" borderId="0"/>
  </cellStyleXfs>
  <cellXfs count="475">
    <xf numFmtId="0" fontId="0" fillId="0" borderId="0" xfId="0"/>
    <xf numFmtId="0" fontId="0" fillId="0" borderId="0" xfId="0"/>
    <xf numFmtId="170" fontId="4" fillId="0" borderId="0" xfId="228" applyNumberFormat="1" applyFont="1"/>
    <xf numFmtId="170" fontId="4" fillId="0" borderId="0" xfId="228" applyNumberFormat="1" applyFont="1" applyAlignment="1">
      <alignment horizontal="center"/>
    </xf>
    <xf numFmtId="170" fontId="4" fillId="0" borderId="0" xfId="228" applyNumberFormat="1" applyFont="1" applyBorder="1"/>
    <xf numFmtId="170" fontId="4" fillId="0" borderId="0" xfId="228" applyNumberFormat="1" applyFont="1" applyBorder="1" applyAlignment="1">
      <alignment horizontal="center"/>
    </xf>
    <xf numFmtId="0" fontId="4" fillId="0" borderId="0" xfId="228" applyFont="1" applyBorder="1"/>
    <xf numFmtId="170" fontId="4" fillId="0" borderId="0" xfId="228" applyNumberFormat="1" applyFont="1" applyBorder="1" applyAlignment="1">
      <alignment horizontal="left"/>
    </xf>
    <xf numFmtId="0" fontId="4" fillId="0" borderId="0" xfId="228" applyFont="1" applyAlignment="1">
      <alignment horizontal="center"/>
    </xf>
    <xf numFmtId="0" fontId="4" fillId="0" borderId="0" xfId="228" applyFont="1"/>
    <xf numFmtId="174" fontId="4" fillId="0" borderId="0" xfId="228" applyNumberFormat="1" applyFont="1" applyAlignment="1">
      <alignment horizontal="center"/>
    </xf>
    <xf numFmtId="170" fontId="4" fillId="0" borderId="0" xfId="228" applyNumberFormat="1" applyFont="1" applyAlignment="1"/>
    <xf numFmtId="0" fontId="4" fillId="0" borderId="0" xfId="228" applyFont="1" applyAlignment="1">
      <alignment horizontal="right"/>
    </xf>
    <xf numFmtId="0" fontId="41" fillId="0" borderId="0" xfId="228"/>
    <xf numFmtId="172" fontId="4" fillId="0" borderId="0" xfId="228" applyNumberFormat="1" applyFont="1"/>
    <xf numFmtId="172" fontId="4" fillId="0" borderId="0" xfId="228" applyNumberFormat="1" applyFont="1" applyAlignment="1">
      <alignment horizontal="right"/>
    </xf>
    <xf numFmtId="0" fontId="41" fillId="0" borderId="0" xfId="228" applyBorder="1"/>
    <xf numFmtId="172" fontId="4" fillId="0" borderId="0" xfId="228" applyNumberFormat="1" applyFont="1" applyBorder="1" applyAlignment="1">
      <alignment horizontal="center" vertical="center"/>
    </xf>
    <xf numFmtId="172" fontId="4" fillId="0" borderId="0" xfId="228" applyNumberFormat="1" applyFont="1" applyAlignment="1">
      <alignment horizontal="center"/>
    </xf>
    <xf numFmtId="1" fontId="4" fillId="0" borderId="0" xfId="228" applyNumberFormat="1" applyFont="1" applyAlignment="1">
      <alignment horizontal="center"/>
    </xf>
    <xf numFmtId="172" fontId="4" fillId="0" borderId="0" xfId="228" applyNumberFormat="1" applyFont="1" applyAlignment="1">
      <alignment horizontal="center" vertical="center"/>
    </xf>
    <xf numFmtId="172" fontId="4" fillId="0" borderId="17" xfId="228" applyNumberFormat="1" applyFont="1" applyBorder="1" applyAlignment="1">
      <alignment horizontal="center" vertical="center"/>
    </xf>
    <xf numFmtId="170" fontId="4" fillId="0" borderId="17" xfId="228" applyNumberFormat="1" applyFont="1" applyBorder="1" applyAlignment="1">
      <alignment horizontal="center"/>
    </xf>
    <xf numFmtId="172" fontId="4" fillId="0" borderId="0" xfId="231" applyNumberFormat="1" applyFont="1" applyAlignment="1">
      <alignment horizontal="center"/>
    </xf>
    <xf numFmtId="170" fontId="39" fillId="0" borderId="0" xfId="228" applyNumberFormat="1" applyFont="1" applyBorder="1" applyAlignment="1">
      <alignment horizontal="left"/>
    </xf>
    <xf numFmtId="0" fontId="4" fillId="0" borderId="0" xfId="228" applyFont="1" applyAlignment="1">
      <alignment vertical="top"/>
    </xf>
    <xf numFmtId="170" fontId="4" fillId="0" borderId="0" xfId="228" applyNumberFormat="1" applyFont="1" applyFill="1" applyAlignment="1">
      <alignment horizontal="center"/>
    </xf>
    <xf numFmtId="0" fontId="4" fillId="0" borderId="0" xfId="228" applyFont="1" applyBorder="1" applyAlignment="1">
      <alignment horizontal="center" vertical="center" wrapText="1"/>
    </xf>
    <xf numFmtId="170" fontId="4" fillId="0" borderId="0" xfId="228" applyNumberFormat="1" applyFont="1" applyAlignment="1">
      <alignment horizontal="left"/>
    </xf>
    <xf numFmtId="170" fontId="39" fillId="0" borderId="0" xfId="228" applyNumberFormat="1" applyFont="1" applyAlignment="1">
      <alignment horizontal="left"/>
    </xf>
    <xf numFmtId="0" fontId="4" fillId="0" borderId="0" xfId="231" applyFont="1"/>
    <xf numFmtId="0" fontId="4" fillId="0" borderId="0" xfId="231" applyFont="1" applyAlignment="1">
      <alignment horizontal="center"/>
    </xf>
    <xf numFmtId="174" fontId="4" fillId="0" borderId="0" xfId="231" applyNumberFormat="1" applyFont="1" applyAlignment="1">
      <alignment horizontal="center"/>
    </xf>
    <xf numFmtId="172" fontId="4" fillId="0" borderId="0" xfId="228" applyNumberFormat="1" applyFont="1" applyFill="1" applyAlignment="1">
      <alignment horizontal="center"/>
    </xf>
    <xf numFmtId="1" fontId="4" fillId="0" borderId="0" xfId="231" applyNumberFormat="1" applyFont="1" applyAlignment="1">
      <alignment horizontal="center"/>
    </xf>
    <xf numFmtId="174" fontId="4" fillId="0" borderId="0" xfId="228" applyNumberFormat="1" applyFont="1"/>
    <xf numFmtId="0" fontId="4" fillId="0" borderId="0" xfId="231" applyFont="1" applyBorder="1" applyAlignment="1">
      <alignment horizontal="center"/>
    </xf>
    <xf numFmtId="0" fontId="4" fillId="0" borderId="0" xfId="231" applyFont="1" applyBorder="1" applyAlignment="1">
      <alignment horizontal="left"/>
    </xf>
    <xf numFmtId="0" fontId="4" fillId="0" borderId="17" xfId="228" applyFont="1" applyBorder="1"/>
    <xf numFmtId="0" fontId="4" fillId="0" borderId="29" xfId="231" applyFont="1" applyBorder="1" applyAlignment="1">
      <alignment horizontal="center"/>
    </xf>
    <xf numFmtId="174" fontId="4" fillId="0" borderId="17" xfId="228" applyNumberFormat="1" applyFont="1" applyBorder="1" applyAlignment="1">
      <alignment horizontal="center"/>
    </xf>
    <xf numFmtId="0" fontId="4" fillId="0" borderId="17" xfId="209" applyFont="1" applyBorder="1" applyAlignment="1">
      <alignment horizontal="center"/>
    </xf>
    <xf numFmtId="0" fontId="4" fillId="0" borderId="0" xfId="209" applyFont="1" applyAlignment="1">
      <alignment horizontal="center"/>
    </xf>
    <xf numFmtId="0" fontId="39" fillId="0" borderId="0" xfId="228" applyFont="1"/>
    <xf numFmtId="174" fontId="4" fillId="0" borderId="0" xfId="228" applyNumberFormat="1" applyFont="1" applyAlignment="1">
      <alignment horizontal="right"/>
    </xf>
    <xf numFmtId="0" fontId="4" fillId="0" borderId="17" xfId="228" applyFont="1" applyBorder="1" applyAlignment="1">
      <alignment horizontal="center"/>
    </xf>
    <xf numFmtId="0" fontId="39" fillId="0" borderId="0" xfId="228" applyFont="1" applyAlignment="1">
      <alignment horizontal="left"/>
    </xf>
    <xf numFmtId="170" fontId="4" fillId="0" borderId="0" xfId="228" applyNumberFormat="1" applyFont="1" applyFill="1"/>
    <xf numFmtId="0" fontId="41" fillId="0" borderId="0" xfId="228" applyFill="1" applyBorder="1"/>
    <xf numFmtId="0" fontId="41" fillId="0" borderId="0" xfId="228" applyFill="1"/>
    <xf numFmtId="174" fontId="4" fillId="0" borderId="0" xfId="228" applyNumberFormat="1" applyFont="1" applyFill="1"/>
    <xf numFmtId="170" fontId="4" fillId="0" borderId="0" xfId="228" applyNumberFormat="1" applyFont="1" applyFill="1" applyBorder="1"/>
    <xf numFmtId="170" fontId="53" fillId="0" borderId="0" xfId="228" applyNumberFormat="1" applyFont="1" applyFill="1"/>
    <xf numFmtId="174" fontId="4" fillId="0" borderId="0" xfId="228" applyNumberFormat="1" applyFont="1" applyFill="1" applyAlignment="1">
      <alignment horizontal="center"/>
    </xf>
    <xf numFmtId="170" fontId="4" fillId="0" borderId="0" xfId="228" applyNumberFormat="1" applyFont="1" applyFill="1" applyAlignment="1">
      <alignment horizontal="left"/>
    </xf>
    <xf numFmtId="1" fontId="4" fillId="0" borderId="0" xfId="228" applyNumberFormat="1" applyFont="1" applyFill="1" applyAlignment="1">
      <alignment horizontal="center"/>
    </xf>
    <xf numFmtId="174" fontId="4" fillId="0" borderId="17" xfId="228" applyNumberFormat="1" applyFont="1" applyBorder="1" applyAlignment="1">
      <alignment horizontal="center" vertical="center"/>
    </xf>
    <xf numFmtId="174" fontId="4" fillId="0" borderId="0" xfId="228" applyNumberFormat="1" applyFont="1" applyAlignment="1">
      <alignment horizontal="center" vertical="center"/>
    </xf>
    <xf numFmtId="170" fontId="53" fillId="0" borderId="0" xfId="228" applyNumberFormat="1" applyFont="1" applyFill="1" applyAlignment="1">
      <alignment horizontal="center"/>
    </xf>
    <xf numFmtId="174" fontId="4" fillId="0" borderId="29" xfId="228" applyNumberFormat="1" applyFont="1" applyBorder="1" applyAlignment="1">
      <alignment horizontal="center" vertical="center"/>
    </xf>
    <xf numFmtId="172" fontId="4" fillId="0" borderId="29" xfId="228" applyNumberFormat="1" applyFont="1" applyBorder="1" applyAlignment="1">
      <alignment horizontal="center" vertical="center"/>
    </xf>
    <xf numFmtId="174" fontId="4" fillId="0" borderId="0" xfId="228" applyNumberFormat="1" applyFont="1" applyBorder="1" applyAlignment="1">
      <alignment horizontal="center" vertical="center"/>
    </xf>
    <xf numFmtId="174" fontId="4" fillId="0" borderId="0" xfId="226" applyNumberFormat="1" applyFont="1" applyFill="1" applyAlignment="1">
      <alignment horizontal="center"/>
    </xf>
    <xf numFmtId="174" fontId="4" fillId="0" borderId="0" xfId="228" applyNumberFormat="1" applyFont="1" applyBorder="1" applyAlignment="1">
      <alignment horizontal="center"/>
    </xf>
    <xf numFmtId="173" fontId="4" fillId="0" borderId="0" xfId="209" applyNumberFormat="1" applyFont="1" applyFill="1" applyAlignment="1">
      <alignment horizontal="left"/>
    </xf>
    <xf numFmtId="170" fontId="4" fillId="0" borderId="0" xfId="228" applyNumberFormat="1" applyFont="1" applyBorder="1" applyAlignment="1">
      <alignment horizontal="center" vertical="center"/>
    </xf>
    <xf numFmtId="0" fontId="41" fillId="0" borderId="0" xfId="2" applyFont="1"/>
    <xf numFmtId="0" fontId="56" fillId="0" borderId="0" xfId="230" applyFont="1" applyFill="1" applyBorder="1" applyAlignment="1">
      <alignment horizontal="center"/>
    </xf>
    <xf numFmtId="0" fontId="56" fillId="0" borderId="0" xfId="229" applyFont="1" applyFill="1" applyAlignment="1">
      <alignment horizontal="center" vertical="top"/>
    </xf>
    <xf numFmtId="0" fontId="56" fillId="0" borderId="0" xfId="2" applyFont="1"/>
    <xf numFmtId="176" fontId="56" fillId="0" borderId="0" xfId="232" applyNumberFormat="1" applyFont="1" applyFill="1" applyBorder="1" applyAlignment="1">
      <alignment horizontal="center" vertical="center"/>
    </xf>
    <xf numFmtId="0" fontId="56" fillId="0" borderId="0" xfId="2" applyFont="1" applyAlignment="1"/>
    <xf numFmtId="0" fontId="56" fillId="0" borderId="0" xfId="2" applyFont="1" applyFill="1"/>
    <xf numFmtId="170" fontId="56" fillId="0" borderId="0" xfId="208" applyNumberFormat="1" applyFont="1" applyBorder="1" applyAlignment="1">
      <alignment horizontal="left"/>
    </xf>
    <xf numFmtId="191" fontId="56" fillId="0" borderId="0" xfId="232" applyNumberFormat="1" applyFont="1" applyFill="1" applyBorder="1" applyAlignment="1">
      <alignment horizontal="center" vertical="center"/>
    </xf>
    <xf numFmtId="0" fontId="56" fillId="0" borderId="0" xfId="2" applyFont="1" applyBorder="1" applyAlignment="1"/>
    <xf numFmtId="0" fontId="56" fillId="0" borderId="0" xfId="230" applyFont="1" applyFill="1" applyBorder="1" applyAlignment="1">
      <alignment horizontal="left"/>
    </xf>
    <xf numFmtId="0" fontId="56" fillId="0" borderId="0" xfId="2" applyFont="1" applyBorder="1"/>
    <xf numFmtId="0" fontId="59" fillId="0" borderId="0" xfId="2" applyFont="1" applyBorder="1"/>
    <xf numFmtId="0" fontId="56" fillId="0" borderId="0" xfId="2" applyFont="1" applyBorder="1" applyAlignment="1">
      <alignment horizontal="center"/>
    </xf>
    <xf numFmtId="1" fontId="56" fillId="0" borderId="0" xfId="208" applyNumberFormat="1" applyFont="1" applyBorder="1" applyAlignment="1">
      <alignment horizontal="center"/>
    </xf>
    <xf numFmtId="0" fontId="56" fillId="0" borderId="0" xfId="229" applyFont="1" applyFill="1" applyAlignment="1">
      <alignment vertical="top"/>
    </xf>
    <xf numFmtId="0" fontId="56" fillId="0" borderId="17" xfId="2" applyFont="1" applyBorder="1"/>
    <xf numFmtId="0" fontId="4" fillId="0" borderId="0" xfId="2"/>
    <xf numFmtId="0" fontId="3" fillId="0" borderId="0" xfId="2" applyFont="1"/>
    <xf numFmtId="0" fontId="3" fillId="0" borderId="0" xfId="2" applyFont="1" applyAlignment="1">
      <alignment horizontal="center"/>
    </xf>
    <xf numFmtId="172" fontId="41" fillId="0" borderId="0" xfId="228" applyNumberFormat="1"/>
    <xf numFmtId="0" fontId="41" fillId="31" borderId="0" xfId="228" applyFill="1"/>
    <xf numFmtId="172" fontId="60" fillId="0" borderId="28" xfId="233" applyNumberFormat="1" applyFont="1" applyBorder="1" applyAlignment="1"/>
    <xf numFmtId="0" fontId="56" fillId="0" borderId="27" xfId="228" applyFont="1" applyBorder="1" applyAlignment="1"/>
    <xf numFmtId="0" fontId="60" fillId="0" borderId="27" xfId="228" applyFont="1" applyBorder="1" applyAlignment="1">
      <alignment horizontal="right"/>
    </xf>
    <xf numFmtId="0" fontId="41" fillId="0" borderId="27" xfId="228" applyBorder="1" applyAlignment="1"/>
    <xf numFmtId="0" fontId="41" fillId="0" borderId="26" xfId="228" applyBorder="1" applyAlignment="1"/>
    <xf numFmtId="0" fontId="41" fillId="0" borderId="0" xfId="228" applyBorder="1" applyAlignment="1"/>
    <xf numFmtId="0" fontId="41" fillId="0" borderId="0" xfId="228" applyAlignment="1"/>
    <xf numFmtId="0" fontId="60" fillId="0" borderId="0" xfId="228" applyFont="1" applyBorder="1" applyAlignment="1">
      <alignment horizontal="right"/>
    </xf>
    <xf numFmtId="0" fontId="56" fillId="0" borderId="0" xfId="228" applyFont="1" applyBorder="1" applyAlignment="1"/>
    <xf numFmtId="183" fontId="60" fillId="0" borderId="30" xfId="233" applyNumberFormat="1" applyFont="1" applyBorder="1" applyAlignment="1"/>
    <xf numFmtId="0" fontId="56" fillId="0" borderId="31" xfId="228" applyFont="1" applyBorder="1" applyAlignment="1"/>
    <xf numFmtId="0" fontId="60" fillId="0" borderId="31" xfId="228" applyFont="1" applyBorder="1" applyAlignment="1">
      <alignment horizontal="right"/>
    </xf>
    <xf numFmtId="0" fontId="41" fillId="0" borderId="31" xfId="228" applyBorder="1" applyAlignment="1"/>
    <xf numFmtId="0" fontId="41" fillId="0" borderId="32" xfId="228" applyBorder="1" applyAlignment="1"/>
    <xf numFmtId="0" fontId="41" fillId="0" borderId="0" xfId="228" applyAlignment="1">
      <alignment horizontal="left"/>
    </xf>
    <xf numFmtId="180" fontId="3" fillId="0" borderId="0" xfId="228" applyNumberFormat="1" applyFont="1" applyAlignment="1"/>
    <xf numFmtId="0" fontId="41" fillId="0" borderId="0" xfId="228" applyAlignment="1">
      <alignment horizontal="right"/>
    </xf>
    <xf numFmtId="0" fontId="41" fillId="0" borderId="0" xfId="228" applyAlignment="1">
      <alignment horizontal="center"/>
    </xf>
    <xf numFmtId="180" fontId="41" fillId="0" borderId="0" xfId="233" applyNumberFormat="1" applyFont="1" applyAlignment="1"/>
    <xf numFmtId="164" fontId="41" fillId="0" borderId="0" xfId="233" applyNumberFormat="1" applyFont="1" applyAlignment="1"/>
    <xf numFmtId="164" fontId="41" fillId="0" borderId="0" xfId="228" applyNumberFormat="1" applyAlignment="1"/>
    <xf numFmtId="43" fontId="41" fillId="0" borderId="0" xfId="233" applyFont="1" applyAlignment="1"/>
    <xf numFmtId="0" fontId="55" fillId="0" borderId="0" xfId="228" applyFont="1" applyAlignment="1">
      <alignment horizontal="center"/>
    </xf>
    <xf numFmtId="0" fontId="41" fillId="0" borderId="28" xfId="228" applyBorder="1" applyAlignment="1"/>
    <xf numFmtId="0" fontId="3" fillId="0" borderId="26" xfId="228" applyFont="1" applyBorder="1" applyAlignment="1"/>
    <xf numFmtId="0" fontId="61" fillId="0" borderId="0" xfId="228" applyFont="1"/>
    <xf numFmtId="180" fontId="41" fillId="0" borderId="0" xfId="228" applyNumberFormat="1" applyAlignment="1"/>
    <xf numFmtId="180" fontId="62" fillId="0" borderId="0" xfId="233" applyNumberFormat="1" applyFont="1" applyFill="1" applyAlignment="1"/>
    <xf numFmtId="164" fontId="62" fillId="0" borderId="0" xfId="233" applyNumberFormat="1" applyFont="1" applyFill="1" applyAlignment="1"/>
    <xf numFmtId="164" fontId="62" fillId="0" borderId="0" xfId="228" applyNumberFormat="1" applyFont="1" applyFill="1" applyAlignment="1"/>
    <xf numFmtId="164" fontId="41" fillId="0" borderId="0" xfId="228" applyNumberFormat="1" applyFill="1" applyAlignment="1"/>
    <xf numFmtId="43" fontId="62" fillId="0" borderId="0" xfId="233" applyFont="1" applyFill="1" applyAlignment="1"/>
    <xf numFmtId="0" fontId="62" fillId="0" borderId="0" xfId="228" applyFont="1" applyFill="1" applyAlignment="1"/>
    <xf numFmtId="193" fontId="41" fillId="0" borderId="0" xfId="228" applyNumberFormat="1"/>
    <xf numFmtId="170" fontId="41" fillId="0" borderId="0" xfId="228" applyNumberFormat="1" applyAlignment="1"/>
    <xf numFmtId="0" fontId="60" fillId="0" borderId="0" xfId="228" applyFont="1"/>
    <xf numFmtId="0" fontId="55" fillId="0" borderId="0" xfId="228" applyFont="1"/>
    <xf numFmtId="0" fontId="63" fillId="0" borderId="0" xfId="228" applyFont="1" applyAlignment="1"/>
    <xf numFmtId="194" fontId="41" fillId="0" borderId="0" xfId="234" applyNumberFormat="1" applyFont="1" applyAlignment="1"/>
    <xf numFmtId="44" fontId="41" fillId="0" borderId="0" xfId="234" applyNumberFormat="1" applyFont="1" applyAlignment="1"/>
    <xf numFmtId="168" fontId="41" fillId="0" borderId="0" xfId="234" applyNumberFormat="1" applyFont="1" applyAlignment="1"/>
    <xf numFmtId="0" fontId="39" fillId="0" borderId="0" xfId="228" applyFont="1" applyAlignment="1"/>
    <xf numFmtId="164" fontId="41" fillId="0" borderId="0" xfId="233" applyNumberFormat="1" applyFont="1" applyAlignment="1">
      <alignment horizontal="center"/>
    </xf>
    <xf numFmtId="175" fontId="41" fillId="0" borderId="0" xfId="234" applyNumberFormat="1" applyFont="1" applyBorder="1" applyAlignment="1"/>
    <xf numFmtId="164" fontId="41" fillId="0" borderId="0" xfId="233" applyNumberFormat="1" applyFont="1"/>
    <xf numFmtId="175" fontId="41" fillId="32" borderId="0" xfId="234" applyNumberFormat="1" applyFont="1" applyFill="1" applyAlignment="1"/>
    <xf numFmtId="0" fontId="58" fillId="0" borderId="0" xfId="228" applyFont="1" applyAlignment="1">
      <alignment horizontal="center"/>
    </xf>
    <xf numFmtId="175" fontId="41" fillId="0" borderId="0" xfId="234" applyNumberFormat="1" applyFont="1" applyAlignment="1">
      <alignment horizontal="center"/>
    </xf>
    <xf numFmtId="175" fontId="41" fillId="0" borderId="0" xfId="234" applyNumberFormat="1" applyFont="1" applyAlignment="1"/>
    <xf numFmtId="0" fontId="41" fillId="0" borderId="0" xfId="228" applyFill="1" applyAlignment="1">
      <alignment horizontal="left"/>
    </xf>
    <xf numFmtId="175" fontId="41" fillId="0" borderId="0" xfId="234" applyNumberFormat="1" applyFont="1" applyFill="1" applyAlignment="1"/>
    <xf numFmtId="0" fontId="41" fillId="0" borderId="0" xfId="228" applyFill="1" applyAlignment="1"/>
    <xf numFmtId="164" fontId="41" fillId="0" borderId="0" xfId="233" applyNumberFormat="1" applyFont="1" applyFill="1" applyBorder="1" applyAlignment="1">
      <alignment horizontal="left"/>
    </xf>
    <xf numFmtId="164" fontId="41" fillId="0" borderId="0" xfId="233" applyNumberFormat="1" applyFont="1" applyAlignment="1">
      <alignment horizontal="left"/>
    </xf>
    <xf numFmtId="169" fontId="41" fillId="0" borderId="0" xfId="233" applyNumberFormat="1" applyFont="1" applyAlignment="1">
      <alignment horizontal="center"/>
    </xf>
    <xf numFmtId="9" fontId="4" fillId="0" borderId="0" xfId="228" applyNumberFormat="1" applyFont="1" applyFill="1" applyBorder="1" applyAlignment="1">
      <alignment horizontal="center" vertical="top" wrapText="1"/>
    </xf>
    <xf numFmtId="0" fontId="55" fillId="0" borderId="0" xfId="228" applyFont="1" applyFill="1" applyBorder="1" applyAlignment="1">
      <alignment horizontal="center"/>
    </xf>
    <xf numFmtId="0" fontId="4" fillId="0" borderId="0" xfId="228" applyFont="1" applyFill="1" applyBorder="1" applyAlignment="1">
      <alignment horizontal="center" vertical="top" wrapText="1"/>
    </xf>
    <xf numFmtId="0" fontId="55" fillId="0" borderId="0" xfId="228" applyFont="1" applyFill="1" applyBorder="1" applyAlignment="1">
      <alignment vertical="top"/>
    </xf>
    <xf numFmtId="0" fontId="55" fillId="0" borderId="0" xfId="228" applyFont="1" applyFill="1" applyBorder="1" applyAlignment="1">
      <alignment horizontal="center" vertical="top"/>
    </xf>
    <xf numFmtId="0" fontId="4" fillId="0" borderId="0" xfId="228" applyFont="1" applyFill="1" applyBorder="1" applyAlignment="1">
      <alignment vertical="top" wrapText="1"/>
    </xf>
    <xf numFmtId="0" fontId="41" fillId="0" borderId="0" xfId="228" applyFill="1" applyBorder="1" applyAlignment="1">
      <alignment vertical="top" wrapText="1"/>
    </xf>
    <xf numFmtId="0" fontId="3" fillId="0" borderId="0" xfId="228" applyFont="1"/>
    <xf numFmtId="0" fontId="41" fillId="0" borderId="17" xfId="228" applyBorder="1"/>
    <xf numFmtId="0" fontId="4" fillId="0" borderId="33" xfId="228" applyFont="1" applyFill="1" applyBorder="1" applyAlignment="1">
      <alignment horizontal="center" vertical="top" wrapText="1"/>
    </xf>
    <xf numFmtId="0" fontId="41" fillId="0" borderId="0" xfId="228" applyFill="1" applyBorder="1" applyAlignment="1">
      <alignment horizontal="center"/>
    </xf>
    <xf numFmtId="0" fontId="55" fillId="0" borderId="0" xfId="228" applyFont="1" applyBorder="1" applyAlignment="1">
      <alignment horizontal="center"/>
    </xf>
    <xf numFmtId="169" fontId="41" fillId="0" borderId="0" xfId="233" applyNumberFormat="1" applyFont="1" applyFill="1"/>
    <xf numFmtId="0" fontId="63" fillId="0" borderId="0" xfId="228" applyFont="1"/>
    <xf numFmtId="15" fontId="41" fillId="0" borderId="0" xfId="228" applyNumberFormat="1"/>
    <xf numFmtId="174" fontId="57" fillId="0" borderId="34" xfId="228" applyNumberFormat="1" applyFont="1" applyBorder="1"/>
    <xf numFmtId="164" fontId="41" fillId="32" borderId="0" xfId="233" applyNumberFormat="1" applyFont="1" applyFill="1" applyBorder="1"/>
    <xf numFmtId="164" fontId="41" fillId="0" borderId="11" xfId="228" applyNumberFormat="1" applyBorder="1"/>
    <xf numFmtId="0" fontId="41" fillId="0" borderId="0" xfId="228" applyAlignment="1">
      <alignment wrapText="1"/>
    </xf>
    <xf numFmtId="164" fontId="41" fillId="0" borderId="0" xfId="228" applyNumberFormat="1"/>
    <xf numFmtId="164" fontId="38" fillId="0" borderId="0" xfId="233" applyNumberFormat="1" applyFont="1" applyFill="1" applyBorder="1"/>
    <xf numFmtId="164" fontId="41" fillId="32" borderId="31" xfId="233" applyNumberFormat="1" applyFont="1" applyFill="1" applyBorder="1"/>
    <xf numFmtId="164" fontId="41" fillId="0" borderId="31" xfId="233" applyNumberFormat="1" applyFont="1" applyFill="1" applyBorder="1"/>
    <xf numFmtId="195" fontId="41" fillId="0" borderId="0" xfId="228" applyNumberFormat="1" applyFont="1" applyFill="1" applyAlignment="1">
      <alignment horizontal="left"/>
    </xf>
    <xf numFmtId="195" fontId="38" fillId="0" borderId="0" xfId="228" applyNumberFormat="1" applyFont="1" applyFill="1" applyAlignment="1">
      <alignment horizontal="center"/>
    </xf>
    <xf numFmtId="164" fontId="41" fillId="32" borderId="0" xfId="233" applyNumberFormat="1" applyFont="1" applyFill="1"/>
    <xf numFmtId="164" fontId="41" fillId="0" borderId="0" xfId="233" applyNumberFormat="1" applyFont="1" applyFill="1" applyBorder="1"/>
    <xf numFmtId="195" fontId="41" fillId="0" borderId="0" xfId="228" applyNumberFormat="1" applyFont="1" applyFill="1" applyAlignment="1">
      <alignment horizontal="center"/>
    </xf>
    <xf numFmtId="0" fontId="41" fillId="0" borderId="0" xfId="228" applyFont="1"/>
    <xf numFmtId="164" fontId="64" fillId="0" borderId="0" xfId="233" applyNumberFormat="1" applyFont="1" applyFill="1" applyBorder="1"/>
    <xf numFmtId="0" fontId="38" fillId="0" borderId="0" xfId="228" applyFont="1" applyFill="1"/>
    <xf numFmtId="164" fontId="0" fillId="0" borderId="0" xfId="233" applyNumberFormat="1" applyFont="1" applyFill="1" applyBorder="1"/>
    <xf numFmtId="195" fontId="4" fillId="0" borderId="0" xfId="228" applyNumberFormat="1" applyFont="1" applyFill="1" applyBorder="1" applyAlignment="1">
      <alignment horizontal="center"/>
    </xf>
    <xf numFmtId="195" fontId="4" fillId="0" borderId="0" xfId="233" applyNumberFormat="1" applyFont="1" applyFill="1" applyAlignment="1">
      <alignment horizontal="center"/>
    </xf>
    <xf numFmtId="195" fontId="4" fillId="0" borderId="0" xfId="228" applyNumberFormat="1" applyFont="1" applyFill="1" applyAlignment="1">
      <alignment horizontal="center"/>
    </xf>
    <xf numFmtId="195" fontId="4" fillId="0" borderId="17" xfId="233" applyNumberFormat="1" applyFont="1" applyFill="1" applyBorder="1" applyAlignment="1">
      <alignment horizontal="center"/>
    </xf>
    <xf numFmtId="195" fontId="4" fillId="0" borderId="17" xfId="228" applyNumberFormat="1" applyFont="1" applyFill="1" applyBorder="1" applyAlignment="1">
      <alignment horizontal="center"/>
    </xf>
    <xf numFmtId="0" fontId="38" fillId="0" borderId="17" xfId="209" applyFont="1" applyFill="1" applyBorder="1" applyAlignment="1">
      <alignment horizontal="center"/>
    </xf>
    <xf numFmtId="195" fontId="55" fillId="0" borderId="0" xfId="233" applyNumberFormat="1" applyFont="1" applyFill="1" applyBorder="1" applyAlignment="1">
      <alignment horizontal="center"/>
    </xf>
    <xf numFmtId="195" fontId="4" fillId="0" borderId="0" xfId="228" applyNumberFormat="1" applyFont="1" applyFill="1"/>
    <xf numFmtId="0" fontId="38" fillId="0" borderId="0" xfId="209" applyFont="1" applyFill="1"/>
    <xf numFmtId="0" fontId="38" fillId="0" borderId="0" xfId="209" applyFont="1" applyFill="1" applyAlignment="1">
      <alignment horizontal="center"/>
    </xf>
    <xf numFmtId="10" fontId="0" fillId="0" borderId="0" xfId="235" applyNumberFormat="1" applyFont="1" applyFill="1"/>
    <xf numFmtId="0" fontId="41" fillId="31" borderId="0" xfId="228" applyFill="1" applyBorder="1"/>
    <xf numFmtId="164" fontId="0" fillId="31" borderId="0" xfId="233" applyNumberFormat="1" applyFont="1" applyFill="1" applyBorder="1"/>
    <xf numFmtId="0" fontId="41" fillId="0" borderId="0" xfId="228" applyFill="1" applyAlignment="1">
      <alignment horizontal="center"/>
    </xf>
    <xf numFmtId="164" fontId="0" fillId="0" borderId="0" xfId="233" applyNumberFormat="1" applyFont="1" applyFill="1"/>
    <xf numFmtId="164" fontId="0" fillId="0" borderId="0" xfId="233" applyNumberFormat="1" applyFont="1"/>
    <xf numFmtId="164" fontId="41" fillId="0" borderId="0" xfId="233" applyNumberFormat="1" applyFont="1" applyFill="1" applyAlignment="1"/>
    <xf numFmtId="9" fontId="0" fillId="0" borderId="0" xfId="235" applyFont="1" applyFill="1"/>
    <xf numFmtId="181" fontId="41" fillId="0" borderId="0" xfId="228" applyNumberFormat="1" applyFill="1" applyBorder="1"/>
    <xf numFmtId="183" fontId="60" fillId="0" borderId="0" xfId="233" applyNumberFormat="1" applyFont="1" applyBorder="1" applyAlignment="1"/>
    <xf numFmtId="183" fontId="3" fillId="30" borderId="30" xfId="233" applyNumberFormat="1" applyFont="1" applyFill="1" applyBorder="1" applyAlignment="1"/>
    <xf numFmtId="0" fontId="3" fillId="0" borderId="31" xfId="228" applyFont="1" applyBorder="1" applyAlignment="1">
      <alignment horizontal="right"/>
    </xf>
    <xf numFmtId="0" fontId="4" fillId="0" borderId="31" xfId="228" applyFont="1" applyBorder="1" applyAlignment="1"/>
    <xf numFmtId="180" fontId="0" fillId="0" borderId="0" xfId="233" applyNumberFormat="1" applyFont="1"/>
    <xf numFmtId="180" fontId="41" fillId="0" borderId="0" xfId="228" applyNumberFormat="1"/>
    <xf numFmtId="0" fontId="3" fillId="0" borderId="0" xfId="228" applyFont="1" applyBorder="1" applyAlignment="1">
      <alignment horizontal="right"/>
    </xf>
    <xf numFmtId="0" fontId="4" fillId="0" borderId="0" xfId="228" applyFont="1" applyBorder="1" applyAlignment="1"/>
    <xf numFmtId="0" fontId="4" fillId="0" borderId="0" xfId="228" applyFont="1" applyAlignment="1"/>
    <xf numFmtId="0" fontId="57" fillId="0" borderId="0" xfId="228" applyFont="1"/>
    <xf numFmtId="181" fontId="41" fillId="0" borderId="0" xfId="228" applyNumberFormat="1" applyBorder="1"/>
    <xf numFmtId="183" fontId="60" fillId="30" borderId="28" xfId="233" applyNumberFormat="1" applyFont="1" applyFill="1" applyBorder="1" applyAlignment="1"/>
    <xf numFmtId="0" fontId="41" fillId="0" borderId="0" xfId="228" applyBorder="1" applyAlignment="1">
      <alignment horizontal="center"/>
    </xf>
    <xf numFmtId="0" fontId="54" fillId="0" borderId="0" xfId="228" applyFont="1" applyFill="1" applyBorder="1" applyAlignment="1">
      <alignment horizontal="center"/>
    </xf>
    <xf numFmtId="0" fontId="65" fillId="0" borderId="0" xfId="236" applyFont="1"/>
    <xf numFmtId="183" fontId="41" fillId="0" borderId="0" xfId="228" applyNumberFormat="1"/>
    <xf numFmtId="181" fontId="66" fillId="28" borderId="0" xfId="237" applyNumberFormat="1" applyAlignment="1"/>
    <xf numFmtId="181" fontId="67" fillId="28" borderId="0" xfId="237" applyNumberFormat="1" applyFont="1" applyAlignment="1"/>
    <xf numFmtId="194" fontId="66" fillId="28" borderId="0" xfId="237" applyNumberFormat="1" applyAlignment="1"/>
    <xf numFmtId="196" fontId="66" fillId="28" borderId="0" xfId="237" applyNumberFormat="1" applyAlignment="1"/>
    <xf numFmtId="175" fontId="66" fillId="28" borderId="0" xfId="237" applyNumberFormat="1" applyAlignment="1"/>
    <xf numFmtId="164" fontId="66" fillId="28" borderId="0" xfId="237" applyNumberFormat="1"/>
    <xf numFmtId="175" fontId="41" fillId="27" borderId="0" xfId="234" applyNumberFormat="1" applyFont="1" applyFill="1" applyAlignment="1"/>
    <xf numFmtId="0" fontId="41" fillId="30" borderId="0" xfId="228" applyFill="1"/>
    <xf numFmtId="0" fontId="0" fillId="30" borderId="0" xfId="228" applyFont="1" applyFill="1"/>
    <xf numFmtId="175" fontId="41" fillId="30" borderId="0" xfId="234" applyNumberFormat="1" applyFont="1" applyFill="1" applyAlignment="1"/>
    <xf numFmtId="0" fontId="0" fillId="0" borderId="0" xfId="228" applyFont="1" applyFill="1"/>
    <xf numFmtId="164" fontId="66" fillId="28" borderId="0" xfId="237" applyNumberFormat="1" applyAlignment="1"/>
    <xf numFmtId="3" fontId="41" fillId="30" borderId="0" xfId="228" applyNumberFormat="1" applyFill="1"/>
    <xf numFmtId="174" fontId="66" fillId="28" borderId="34" xfId="237" applyNumberFormat="1" applyBorder="1"/>
    <xf numFmtId="3" fontId="41" fillId="0" borderId="0" xfId="228" applyNumberFormat="1"/>
    <xf numFmtId="197" fontId="41" fillId="0" borderId="0" xfId="228" applyNumberFormat="1"/>
    <xf numFmtId="164" fontId="41" fillId="27" borderId="0" xfId="233" applyNumberFormat="1" applyFont="1" applyFill="1" applyBorder="1"/>
    <xf numFmtId="0" fontId="69" fillId="0" borderId="0" xfId="238" applyFont="1" applyFill="1"/>
    <xf numFmtId="164" fontId="66" fillId="28" borderId="11" xfId="237" applyNumberFormat="1" applyBorder="1"/>
    <xf numFmtId="0" fontId="0" fillId="0" borderId="0" xfId="228" applyFont="1"/>
    <xf numFmtId="164" fontId="66" fillId="28" borderId="31" xfId="237" applyNumberFormat="1" applyBorder="1"/>
    <xf numFmtId="164" fontId="41" fillId="27" borderId="31" xfId="233" applyNumberFormat="1" applyFont="1" applyFill="1" applyBorder="1"/>
    <xf numFmtId="164" fontId="66" fillId="28" borderId="0" xfId="237" applyNumberFormat="1" applyBorder="1"/>
    <xf numFmtId="164" fontId="41" fillId="27" borderId="0" xfId="233" applyNumberFormat="1" applyFont="1" applyFill="1" applyAlignment="1"/>
    <xf numFmtId="175" fontId="41" fillId="33" borderId="0" xfId="234" applyNumberFormat="1" applyFont="1" applyFill="1" applyAlignment="1"/>
    <xf numFmtId="164" fontId="41" fillId="33" borderId="0" xfId="233" applyNumberFormat="1" applyFont="1" applyFill="1" applyBorder="1"/>
    <xf numFmtId="164" fontId="41" fillId="33" borderId="31" xfId="233" applyNumberFormat="1" applyFont="1" applyFill="1" applyBorder="1"/>
    <xf numFmtId="164" fontId="41" fillId="33" borderId="0" xfId="233" applyNumberFormat="1" applyFont="1" applyFill="1" applyAlignment="1"/>
    <xf numFmtId="0" fontId="1" fillId="0" borderId="0" xfId="239"/>
    <xf numFmtId="0" fontId="1" fillId="0" borderId="0" xfId="239" applyAlignment="1"/>
    <xf numFmtId="9" fontId="0" fillId="0" borderId="0" xfId="81" applyFont="1"/>
    <xf numFmtId="43" fontId="0" fillId="0" borderId="0" xfId="240" applyFont="1" applyAlignment="1"/>
    <xf numFmtId="0" fontId="1" fillId="0" borderId="0" xfId="239" applyAlignment="1">
      <alignment horizontal="left" indent="1"/>
    </xf>
    <xf numFmtId="164" fontId="1" fillId="0" borderId="0" xfId="239" applyNumberFormat="1"/>
    <xf numFmtId="164" fontId="0" fillId="0" borderId="0" xfId="240" applyNumberFormat="1" applyFont="1" applyAlignment="1"/>
    <xf numFmtId="0" fontId="51" fillId="0" borderId="0" xfId="239" applyFont="1"/>
    <xf numFmtId="164" fontId="0" fillId="0" borderId="0" xfId="240" applyNumberFormat="1" applyFont="1"/>
    <xf numFmtId="175" fontId="41" fillId="0" borderId="0" xfId="241" applyNumberFormat="1" applyFont="1" applyBorder="1" applyAlignment="1"/>
    <xf numFmtId="0" fontId="1" fillId="0" borderId="0" xfId="239" applyFont="1"/>
    <xf numFmtId="175" fontId="41" fillId="0" borderId="0" xfId="241" applyNumberFormat="1" applyFont="1" applyFill="1" applyAlignment="1"/>
    <xf numFmtId="0" fontId="1" fillId="0" borderId="0" xfId="239" applyFill="1" applyAlignment="1"/>
    <xf numFmtId="0" fontId="2" fillId="0" borderId="17" xfId="239" applyFont="1" applyBorder="1" applyAlignment="1">
      <alignment horizontal="center"/>
    </xf>
    <xf numFmtId="0" fontId="70" fillId="0" borderId="0" xfId="239" applyFont="1"/>
    <xf numFmtId="6" fontId="2" fillId="0" borderId="0" xfId="239" quotePrefix="1" applyNumberFormat="1" applyFont="1" applyAlignment="1">
      <alignment horizontal="center"/>
    </xf>
    <xf numFmtId="164" fontId="75" fillId="0" borderId="0" xfId="2" applyNumberFormat="1" applyFont="1"/>
    <xf numFmtId="164" fontId="75" fillId="0" borderId="0" xfId="2" applyNumberFormat="1" applyFont="1" applyFill="1"/>
    <xf numFmtId="0" fontId="4" fillId="0" borderId="0" xfId="2" applyFont="1"/>
    <xf numFmtId="164" fontId="4" fillId="0" borderId="0" xfId="2" applyNumberFormat="1"/>
    <xf numFmtId="0" fontId="78" fillId="0" borderId="0" xfId="2" applyFont="1"/>
    <xf numFmtId="0" fontId="4" fillId="0" borderId="0" xfId="2" applyFill="1"/>
    <xf numFmtId="0" fontId="72" fillId="0" borderId="0" xfId="2" applyFont="1"/>
    <xf numFmtId="0" fontId="4" fillId="0" borderId="23" xfId="2" applyFont="1" applyBorder="1"/>
    <xf numFmtId="0" fontId="3" fillId="0" borderId="23" xfId="2" applyFont="1" applyBorder="1"/>
    <xf numFmtId="38" fontId="4" fillId="0" borderId="0" xfId="2" applyNumberFormat="1" applyFont="1" applyFill="1" applyAlignment="1">
      <alignment horizontal="center" vertical="center"/>
    </xf>
    <xf numFmtId="164" fontId="84" fillId="0" borderId="0" xfId="2" applyNumberFormat="1" applyFont="1" applyFill="1"/>
    <xf numFmtId="10" fontId="4" fillId="0" borderId="0" xfId="134" applyNumberFormat="1" applyFont="1" applyFill="1"/>
    <xf numFmtId="0" fontId="69" fillId="0" borderId="0" xfId="0" applyFont="1"/>
    <xf numFmtId="0" fontId="4" fillId="36" borderId="0" xfId="2" applyFill="1"/>
    <xf numFmtId="0" fontId="78" fillId="36" borderId="0" xfId="2" applyFont="1" applyFill="1"/>
    <xf numFmtId="43" fontId="78" fillId="0" borderId="0" xfId="2" applyNumberFormat="1" applyFont="1"/>
    <xf numFmtId="43" fontId="78" fillId="36" borderId="0" xfId="2" applyNumberFormat="1" applyFont="1" applyFill="1"/>
    <xf numFmtId="164" fontId="78" fillId="0" borderId="31" xfId="2" applyNumberFormat="1" applyFont="1" applyBorder="1"/>
    <xf numFmtId="164" fontId="78" fillId="36" borderId="31" xfId="2" applyNumberFormat="1" applyFont="1" applyFill="1" applyBorder="1"/>
    <xf numFmtId="164" fontId="78" fillId="0" borderId="0" xfId="243" applyNumberFormat="1" applyFont="1"/>
    <xf numFmtId="164" fontId="78" fillId="36" borderId="0" xfId="243" applyNumberFormat="1" applyFont="1" applyFill="1"/>
    <xf numFmtId="40" fontId="78" fillId="0" borderId="0" xfId="2" applyNumberFormat="1" applyFont="1" applyAlignment="1">
      <alignment horizontal="center" vertical="center"/>
    </xf>
    <xf numFmtId="40" fontId="78" fillId="36" borderId="0" xfId="2" applyNumberFormat="1" applyFont="1" applyFill="1" applyAlignment="1">
      <alignment horizontal="center" vertical="center"/>
    </xf>
    <xf numFmtId="164" fontId="85" fillId="0" borderId="0" xfId="1" applyNumberFormat="1" applyFont="1"/>
    <xf numFmtId="164" fontId="85" fillId="0" borderId="0" xfId="1" applyNumberFormat="1" applyFont="1" applyAlignment="1">
      <alignment horizontal="center" vertical="center"/>
    </xf>
    <xf numFmtId="164" fontId="85" fillId="36" borderId="0" xfId="1" applyNumberFormat="1" applyFont="1" applyFill="1" applyAlignment="1">
      <alignment horizontal="center" vertical="center"/>
    </xf>
    <xf numFmtId="38" fontId="78" fillId="36" borderId="0" xfId="2" applyNumberFormat="1" applyFont="1" applyFill="1"/>
    <xf numFmtId="38" fontId="78" fillId="0" borderId="0" xfId="2" applyNumberFormat="1" applyFont="1"/>
    <xf numFmtId="0" fontId="86" fillId="0" borderId="0" xfId="2" applyFont="1"/>
    <xf numFmtId="40" fontId="4" fillId="0" borderId="0" xfId="2" applyNumberFormat="1" applyFont="1" applyAlignment="1">
      <alignment horizontal="center" vertical="center"/>
    </xf>
    <xf numFmtId="40" fontId="4" fillId="36" borderId="0" xfId="2" applyNumberFormat="1" applyFont="1" applyFill="1" applyAlignment="1">
      <alignment horizontal="center" vertical="center"/>
    </xf>
    <xf numFmtId="40" fontId="4" fillId="0" borderId="21" xfId="2" applyNumberFormat="1" applyFont="1" applyBorder="1" applyAlignment="1">
      <alignment horizontal="center" vertical="center"/>
    </xf>
    <xf numFmtId="40" fontId="4" fillId="0" borderId="3" xfId="2" applyNumberFormat="1" applyFont="1" applyBorder="1" applyAlignment="1">
      <alignment horizontal="center" vertical="center"/>
    </xf>
    <xf numFmtId="40" fontId="4" fillId="36" borderId="3" xfId="2" applyNumberFormat="1" applyFont="1" applyFill="1" applyBorder="1" applyAlignment="1">
      <alignment horizontal="center" vertical="center"/>
    </xf>
    <xf numFmtId="0" fontId="4" fillId="0" borderId="20" xfId="2" applyFont="1" applyBorder="1"/>
    <xf numFmtId="40" fontId="4" fillId="0" borderId="0" xfId="2" applyNumberFormat="1" applyFont="1" applyBorder="1" applyAlignment="1">
      <alignment horizontal="center" vertical="center"/>
    </xf>
    <xf numFmtId="40" fontId="4" fillId="36" borderId="0" xfId="2" applyNumberFormat="1" applyFont="1" applyFill="1" applyBorder="1" applyAlignment="1">
      <alignment horizontal="center" vertical="center"/>
    </xf>
    <xf numFmtId="0" fontId="53" fillId="0" borderId="0" xfId="2" applyFont="1"/>
    <xf numFmtId="44" fontId="87" fillId="0" borderId="24" xfId="261" applyFont="1" applyFill="1" applyBorder="1" applyAlignment="1">
      <alignment horizontal="center"/>
    </xf>
    <xf numFmtId="44" fontId="87" fillId="0" borderId="0" xfId="261" applyFont="1" applyFill="1" applyBorder="1" applyAlignment="1">
      <alignment horizontal="center"/>
    </xf>
    <xf numFmtId="44" fontId="87" fillId="36" borderId="0" xfId="261" applyFont="1" applyFill="1" applyBorder="1" applyAlignment="1">
      <alignment horizontal="center"/>
    </xf>
    <xf numFmtId="0" fontId="79" fillId="0" borderId="0" xfId="2" applyFont="1" applyFill="1" applyBorder="1" applyAlignment="1">
      <alignment horizontal="center"/>
    </xf>
    <xf numFmtId="209" fontId="88" fillId="0" borderId="0" xfId="2" applyNumberFormat="1" applyFont="1" applyBorder="1" applyAlignment="1">
      <alignment horizontal="center" vertical="center"/>
    </xf>
    <xf numFmtId="209" fontId="88" fillId="36" borderId="0" xfId="2" applyNumberFormat="1" applyFont="1" applyFill="1" applyBorder="1" applyAlignment="1">
      <alignment horizontal="center" vertical="center"/>
    </xf>
    <xf numFmtId="0" fontId="88" fillId="0" borderId="23" xfId="2" applyFont="1" applyFill="1" applyBorder="1"/>
    <xf numFmtId="209" fontId="88" fillId="0" borderId="24" xfId="2" applyNumberFormat="1" applyFont="1" applyBorder="1" applyAlignment="1">
      <alignment horizontal="center" vertical="center"/>
    </xf>
    <xf numFmtId="0" fontId="89" fillId="0" borderId="24" xfId="2" applyFont="1" applyFill="1" applyBorder="1" applyAlignment="1">
      <alignment horizontal="center"/>
    </xf>
    <xf numFmtId="0" fontId="89" fillId="0" borderId="0" xfId="2" applyFont="1" applyFill="1" applyBorder="1" applyAlignment="1">
      <alignment horizontal="center"/>
    </xf>
    <xf numFmtId="0" fontId="89" fillId="36" borderId="0" xfId="2" applyFont="1" applyFill="1" applyBorder="1" applyAlignment="1">
      <alignment horizontal="center"/>
    </xf>
    <xf numFmtId="0" fontId="79" fillId="0" borderId="24" xfId="2" applyFont="1" applyFill="1" applyBorder="1" applyAlignment="1">
      <alignment horizontal="center"/>
    </xf>
    <xf numFmtId="0" fontId="79" fillId="36" borderId="0" xfId="2" applyFont="1" applyFill="1" applyBorder="1" applyAlignment="1">
      <alignment horizontal="center"/>
    </xf>
    <xf numFmtId="0" fontId="3" fillId="0" borderId="23" xfId="2" applyFont="1" applyFill="1" applyBorder="1"/>
    <xf numFmtId="40" fontId="4" fillId="0" borderId="24" xfId="2" applyNumberFormat="1" applyFont="1" applyBorder="1" applyAlignment="1">
      <alignment horizontal="center" vertical="center"/>
    </xf>
    <xf numFmtId="0" fontId="4" fillId="0" borderId="23" xfId="2" applyFont="1" applyFill="1" applyBorder="1"/>
    <xf numFmtId="0" fontId="79" fillId="0" borderId="19" xfId="2" applyFont="1" applyFill="1" applyBorder="1" applyAlignment="1">
      <alignment horizontal="center"/>
    </xf>
    <xf numFmtId="0" fontId="79" fillId="0" borderId="18" xfId="2" applyFont="1" applyFill="1" applyBorder="1" applyAlignment="1">
      <alignment horizontal="center"/>
    </xf>
    <xf numFmtId="0" fontId="79" fillId="36" borderId="18" xfId="2" applyFont="1" applyFill="1" applyBorder="1" applyAlignment="1">
      <alignment horizontal="center"/>
    </xf>
    <xf numFmtId="0" fontId="3" fillId="0" borderId="22" xfId="2" applyFont="1" applyFill="1" applyBorder="1"/>
    <xf numFmtId="0" fontId="77" fillId="37" borderId="0" xfId="2" applyFont="1" applyFill="1" applyAlignment="1">
      <alignment horizontal="center"/>
    </xf>
    <xf numFmtId="0" fontId="77" fillId="36" borderId="0" xfId="2" applyFont="1" applyFill="1" applyAlignment="1">
      <alignment horizontal="center"/>
    </xf>
    <xf numFmtId="0" fontId="79" fillId="37" borderId="0" xfId="2" applyFont="1" applyFill="1" applyAlignment="1">
      <alignment horizontal="center"/>
    </xf>
    <xf numFmtId="0" fontId="79" fillId="36" borderId="0" xfId="2" applyFont="1" applyFill="1" applyAlignment="1">
      <alignment horizontal="center"/>
    </xf>
    <xf numFmtId="0" fontId="79" fillId="37" borderId="0" xfId="2" applyFont="1" applyFill="1"/>
    <xf numFmtId="209" fontId="4" fillId="0" borderId="0" xfId="2" applyNumberFormat="1" applyFont="1" applyAlignment="1">
      <alignment horizontal="center" vertical="center"/>
    </xf>
    <xf numFmtId="210" fontId="4" fillId="36" borderId="0" xfId="2" applyNumberFormat="1" applyFont="1" applyFill="1" applyAlignment="1">
      <alignment horizontal="center" vertical="center"/>
    </xf>
    <xf numFmtId="0" fontId="3" fillId="0" borderId="0" xfId="2" applyFont="1" applyAlignment="1">
      <alignment horizontal="left" vertical="center" wrapText="1"/>
    </xf>
    <xf numFmtId="209" fontId="4" fillId="36" borderId="0" xfId="2" applyNumberFormat="1" applyFont="1" applyFill="1" applyAlignment="1">
      <alignment horizontal="center" vertical="center"/>
    </xf>
    <xf numFmtId="210" fontId="4" fillId="0" borderId="0" xfId="2" applyNumberFormat="1" applyFont="1" applyAlignment="1">
      <alignment horizontal="center" vertical="center"/>
    </xf>
    <xf numFmtId="164" fontId="73" fillId="0" borderId="0" xfId="2" applyNumberFormat="1" applyFont="1"/>
    <xf numFmtId="164" fontId="73" fillId="36" borderId="0" xfId="2" applyNumberFormat="1" applyFont="1" applyFill="1"/>
    <xf numFmtId="38" fontId="76" fillId="0" borderId="0" xfId="2" applyNumberFormat="1" applyFont="1" applyAlignment="1">
      <alignment horizontal="center" vertical="center"/>
    </xf>
    <xf numFmtId="38" fontId="76" fillId="36" borderId="0" xfId="2" applyNumberFormat="1" applyFont="1" applyFill="1" applyAlignment="1">
      <alignment horizontal="center" vertical="center"/>
    </xf>
    <xf numFmtId="38" fontId="4" fillId="0" borderId="0" xfId="2" applyNumberFormat="1" applyFont="1" applyAlignment="1">
      <alignment horizontal="center" vertical="center"/>
    </xf>
    <xf numFmtId="0" fontId="4" fillId="0" borderId="0" xfId="2" applyFont="1" applyAlignment="1">
      <alignment horizontal="left" vertical="center" wrapText="1"/>
    </xf>
    <xf numFmtId="164" fontId="75" fillId="36" borderId="0" xfId="2" applyNumberFormat="1" applyFont="1" applyFill="1"/>
    <xf numFmtId="164" fontId="84" fillId="0" borderId="0" xfId="2" applyNumberFormat="1" applyFont="1"/>
    <xf numFmtId="0" fontId="77" fillId="34" borderId="0" xfId="2" applyFont="1" applyFill="1" applyAlignment="1">
      <alignment horizontal="center"/>
    </xf>
    <xf numFmtId="0" fontId="79" fillId="34" borderId="0" xfId="2" applyFont="1" applyFill="1"/>
    <xf numFmtId="38" fontId="4" fillId="0" borderId="31" xfId="2" applyNumberFormat="1" applyFont="1" applyBorder="1" applyAlignment="1">
      <alignment horizontal="center" vertical="center"/>
    </xf>
    <xf numFmtId="38" fontId="4" fillId="36" borderId="31" xfId="2" applyNumberFormat="1" applyFont="1" applyFill="1" applyBorder="1" applyAlignment="1">
      <alignment horizontal="center" vertical="center"/>
    </xf>
    <xf numFmtId="0" fontId="4" fillId="0" borderId="31" xfId="2" applyFont="1" applyBorder="1"/>
    <xf numFmtId="38" fontId="4" fillId="36" borderId="0" xfId="2" applyNumberFormat="1" applyFont="1" applyFill="1" applyAlignment="1">
      <alignment horizontal="center" vertical="center"/>
    </xf>
    <xf numFmtId="0" fontId="77" fillId="38" borderId="0" xfId="2" applyFont="1" applyFill="1" applyAlignment="1">
      <alignment horizontal="center"/>
    </xf>
    <xf numFmtId="0" fontId="79" fillId="38" borderId="0" xfId="2" applyFont="1" applyFill="1"/>
    <xf numFmtId="164" fontId="84" fillId="36" borderId="0" xfId="2" applyNumberFormat="1" applyFont="1" applyFill="1"/>
    <xf numFmtId="38" fontId="4" fillId="0" borderId="31" xfId="2" applyNumberFormat="1" applyFont="1" applyFill="1" applyBorder="1" applyAlignment="1">
      <alignment horizontal="center" vertical="center"/>
    </xf>
    <xf numFmtId="9" fontId="4" fillId="39" borderId="0" xfId="257" applyFont="1" applyFill="1" applyAlignment="1">
      <alignment horizontal="center"/>
    </xf>
    <xf numFmtId="9" fontId="4" fillId="36" borderId="0" xfId="257" applyFont="1" applyFill="1" applyAlignment="1">
      <alignment horizontal="center"/>
    </xf>
    <xf numFmtId="38" fontId="84" fillId="0" borderId="0" xfId="2" applyNumberFormat="1" applyFont="1" applyAlignment="1">
      <alignment horizontal="center" vertical="center"/>
    </xf>
    <xf numFmtId="0" fontId="4" fillId="0" borderId="0" xfId="2" applyFill="1" applyAlignment="1">
      <alignment horizontal="center"/>
    </xf>
    <xf numFmtId="0" fontId="4" fillId="36" borderId="0" xfId="2" applyFill="1" applyAlignment="1">
      <alignment horizontal="center"/>
    </xf>
    <xf numFmtId="0" fontId="3" fillId="36" borderId="0" xfId="2" applyFont="1" applyFill="1" applyAlignment="1">
      <alignment horizontal="center"/>
    </xf>
    <xf numFmtId="0" fontId="84" fillId="36" borderId="0" xfId="2" applyFont="1" applyFill="1" applyAlignment="1">
      <alignment horizontal="center"/>
    </xf>
    <xf numFmtId="0" fontId="84" fillId="0" borderId="0" xfId="2" applyFont="1" applyAlignment="1">
      <alignment horizontal="center"/>
    </xf>
    <xf numFmtId="0" fontId="84" fillId="0" borderId="0" xfId="2" applyFont="1"/>
    <xf numFmtId="40" fontId="41" fillId="0" borderId="17" xfId="225" applyNumberFormat="1" applyFont="1" applyFill="1" applyBorder="1" applyAlignment="1">
      <alignment horizontal="center"/>
    </xf>
    <xf numFmtId="0" fontId="41" fillId="0" borderId="17" xfId="230" applyFont="1" applyFill="1" applyBorder="1" applyAlignment="1">
      <alignment horizontal="center"/>
    </xf>
    <xf numFmtId="0" fontId="41" fillId="0" borderId="17" xfId="230" applyFont="1" applyFill="1" applyBorder="1" applyAlignment="1">
      <alignment horizontal="left"/>
    </xf>
    <xf numFmtId="0" fontId="41" fillId="0" borderId="17" xfId="209" applyFont="1" applyFill="1" applyBorder="1" applyAlignment="1">
      <alignment horizontal="center"/>
    </xf>
    <xf numFmtId="0" fontId="41" fillId="0" borderId="0" xfId="230" applyFont="1" applyFill="1" applyBorder="1" applyAlignment="1">
      <alignment horizontal="center"/>
    </xf>
    <xf numFmtId="0" fontId="41" fillId="0" borderId="0" xfId="230" applyFont="1" applyFill="1" applyBorder="1" applyAlignment="1">
      <alignment horizontal="left"/>
    </xf>
    <xf numFmtId="0" fontId="56" fillId="0" borderId="0" xfId="2" applyFont="1" applyFill="1" applyAlignment="1"/>
    <xf numFmtId="0" fontId="31" fillId="0" borderId="0" xfId="260" applyFont="1" applyFill="1"/>
    <xf numFmtId="3" fontId="31" fillId="0" borderId="0" xfId="243" applyNumberFormat="1" applyFont="1" applyFill="1"/>
    <xf numFmtId="202" fontId="31" fillId="0" borderId="0" xfId="261" applyNumberFormat="1" applyFont="1" applyFill="1" applyBorder="1" applyAlignment="1">
      <alignment horizontal="right"/>
    </xf>
    <xf numFmtId="222" fontId="31" fillId="0" borderId="0" xfId="243" applyNumberFormat="1" applyFont="1" applyFill="1"/>
    <xf numFmtId="202" fontId="31" fillId="0" borderId="17" xfId="243" applyNumberFormat="1" applyFont="1" applyFill="1" applyBorder="1" applyAlignment="1">
      <alignment horizontal="right"/>
    </xf>
    <xf numFmtId="202" fontId="31" fillId="0" borderId="0" xfId="243" applyNumberFormat="1" applyFont="1" applyFill="1" applyBorder="1" applyAlignment="1">
      <alignment horizontal="right"/>
    </xf>
    <xf numFmtId="202" fontId="94" fillId="0" borderId="0" xfId="261" applyNumberFormat="1" applyFont="1" applyFill="1" applyBorder="1" applyAlignment="1">
      <alignment horizontal="right"/>
    </xf>
    <xf numFmtId="202" fontId="94" fillId="30" borderId="17" xfId="261" applyNumberFormat="1" applyFont="1" applyFill="1" applyBorder="1" applyAlignment="1">
      <alignment horizontal="right"/>
    </xf>
    <xf numFmtId="0" fontId="0" fillId="0" borderId="0" xfId="239" applyFont="1"/>
    <xf numFmtId="43" fontId="1" fillId="0" borderId="0" xfId="239" applyNumberFormat="1"/>
    <xf numFmtId="0" fontId="41" fillId="35" borderId="0" xfId="228" applyFill="1" applyBorder="1"/>
    <xf numFmtId="183" fontId="60" fillId="35" borderId="0" xfId="233" applyNumberFormat="1" applyFont="1" applyFill="1" applyBorder="1" applyAlignment="1"/>
    <xf numFmtId="181" fontId="41" fillId="35" borderId="0" xfId="228" applyNumberFormat="1" applyFill="1" applyBorder="1"/>
    <xf numFmtId="0" fontId="41" fillId="35" borderId="18" xfId="228" applyFill="1" applyBorder="1" applyAlignment="1">
      <alignment horizontal="center"/>
    </xf>
    <xf numFmtId="0" fontId="41" fillId="35" borderId="18" xfId="228" applyFill="1" applyBorder="1"/>
    <xf numFmtId="0" fontId="41" fillId="35" borderId="19" xfId="228" applyFill="1" applyBorder="1"/>
    <xf numFmtId="0" fontId="0" fillId="35" borderId="23" xfId="0" applyFill="1" applyBorder="1" applyAlignment="1">
      <alignment vertical="center"/>
    </xf>
    <xf numFmtId="0" fontId="41" fillId="35" borderId="24" xfId="228" applyFill="1" applyBorder="1"/>
    <xf numFmtId="0" fontId="96" fillId="35" borderId="23" xfId="0" applyFont="1" applyFill="1" applyBorder="1" applyAlignment="1">
      <alignment vertical="center"/>
    </xf>
    <xf numFmtId="0" fontId="37" fillId="35" borderId="23" xfId="0" applyFont="1" applyFill="1" applyBorder="1" applyAlignment="1">
      <alignment vertical="center"/>
    </xf>
    <xf numFmtId="0" fontId="41" fillId="35" borderId="20" xfId="228" applyFill="1" applyBorder="1"/>
    <xf numFmtId="0" fontId="41" fillId="35" borderId="3" xfId="228" applyFill="1" applyBorder="1"/>
    <xf numFmtId="0" fontId="41" fillId="35" borderId="21" xfId="228" applyFill="1" applyBorder="1"/>
    <xf numFmtId="15" fontId="0" fillId="35" borderId="22" xfId="0" applyNumberFormat="1" applyFill="1" applyBorder="1" applyAlignment="1">
      <alignment vertical="center"/>
    </xf>
    <xf numFmtId="0" fontId="2" fillId="0" borderId="17" xfId="239" applyFont="1" applyBorder="1"/>
    <xf numFmtId="199" fontId="41" fillId="0" borderId="0" xfId="134" applyNumberFormat="1" applyFont="1" applyAlignment="1"/>
    <xf numFmtId="164" fontId="0" fillId="0" borderId="0" xfId="239" applyNumberFormat="1" applyFont="1"/>
    <xf numFmtId="9" fontId="1" fillId="0" borderId="0" xfId="134"/>
    <xf numFmtId="164" fontId="97" fillId="0" borderId="0" xfId="239" applyNumberFormat="1" applyFont="1"/>
    <xf numFmtId="9" fontId="71" fillId="0" borderId="0" xfId="134" applyFont="1" applyAlignment="1"/>
    <xf numFmtId="0" fontId="91" fillId="0" borderId="0" xfId="0" applyFont="1" applyFill="1"/>
    <xf numFmtId="0" fontId="31" fillId="0" borderId="0" xfId="0" applyFont="1" applyFill="1"/>
    <xf numFmtId="195" fontId="31" fillId="0" borderId="0" xfId="0" applyNumberFormat="1" applyFont="1" applyBorder="1" applyAlignment="1">
      <alignment horizontal="right"/>
    </xf>
    <xf numFmtId="49" fontId="92" fillId="0" borderId="0" xfId="0" applyNumberFormat="1" applyFont="1" applyBorder="1" applyAlignment="1">
      <alignment horizontal="right"/>
    </xf>
    <xf numFmtId="0" fontId="31" fillId="0" borderId="0" xfId="0" applyFont="1" applyFill="1" applyAlignment="1"/>
    <xf numFmtId="0" fontId="31" fillId="0" borderId="0" xfId="0" applyFont="1" applyFill="1" applyBorder="1" applyAlignment="1">
      <alignment horizontal="centerContinuous"/>
    </xf>
    <xf numFmtId="217" fontId="31" fillId="0" borderId="0" xfId="0" applyNumberFormat="1" applyFont="1" applyFill="1" applyAlignment="1">
      <alignment horizontal="centerContinuous"/>
    </xf>
    <xf numFmtId="0" fontId="31" fillId="0" borderId="0" xfId="0" applyFont="1" applyFill="1" applyAlignment="1">
      <alignment horizontal="centerContinuous"/>
    </xf>
    <xf numFmtId="0" fontId="92" fillId="0" borderId="0" xfId="0" applyFont="1" applyBorder="1" applyAlignment="1">
      <alignment horizontal="right"/>
    </xf>
    <xf numFmtId="0" fontId="31" fillId="0" borderId="0" xfId="0" applyFont="1" applyFill="1" applyBorder="1" applyAlignment="1"/>
    <xf numFmtId="217" fontId="31" fillId="0" borderId="0" xfId="0" applyNumberFormat="1" applyFont="1" applyFill="1" applyBorder="1" applyAlignment="1">
      <alignment horizontal="centerContinuous"/>
    </xf>
    <xf numFmtId="0" fontId="31" fillId="0" borderId="0" xfId="0" quotePrefix="1" applyFont="1" applyFill="1" applyBorder="1" applyAlignment="1"/>
    <xf numFmtId="0" fontId="31" fillId="0" borderId="0" xfId="0" applyNumberFormat="1" applyFont="1" applyFill="1" applyAlignment="1">
      <alignment horizontal="center"/>
    </xf>
    <xf numFmtId="0" fontId="31" fillId="0" borderId="0" xfId="0" applyFont="1" applyFill="1" applyAlignment="1">
      <alignment horizontal="center"/>
    </xf>
    <xf numFmtId="49" fontId="31" fillId="0" borderId="0" xfId="0" applyNumberFormat="1" applyFont="1" applyFill="1" applyAlignment="1">
      <alignment horizontal="center"/>
    </xf>
    <xf numFmtId="218" fontId="31" fillId="0" borderId="0" xfId="0" applyNumberFormat="1" applyFont="1" applyFill="1" applyAlignment="1">
      <alignment horizontal="center"/>
    </xf>
    <xf numFmtId="217" fontId="31" fillId="0" borderId="0" xfId="0" applyNumberFormat="1" applyFont="1" applyFill="1"/>
    <xf numFmtId="0" fontId="31" fillId="0" borderId="17" xfId="0" applyFont="1" applyFill="1" applyBorder="1" applyAlignment="1">
      <alignment horizontal="center"/>
    </xf>
    <xf numFmtId="0" fontId="31" fillId="0" borderId="17" xfId="0" applyFont="1" applyFill="1" applyBorder="1" applyAlignment="1">
      <alignment horizontal="left"/>
    </xf>
    <xf numFmtId="217" fontId="31" fillId="0" borderId="17" xfId="0" applyNumberFormat="1" applyFont="1" applyFill="1" applyBorder="1" applyAlignment="1">
      <alignment horizontal="center"/>
    </xf>
    <xf numFmtId="0" fontId="31" fillId="0" borderId="17" xfId="0" applyNumberFormat="1" applyFont="1" applyFill="1" applyBorder="1" applyAlignment="1">
      <alignment horizontal="center"/>
    </xf>
    <xf numFmtId="0" fontId="31" fillId="0" borderId="0" xfId="0" applyFont="1" applyFill="1" applyAlignment="1">
      <alignment horizontal="left"/>
    </xf>
    <xf numFmtId="217" fontId="31" fillId="0" borderId="0" xfId="0" applyNumberFormat="1" applyFont="1" applyFill="1" applyAlignment="1">
      <alignment horizontal="center"/>
    </xf>
    <xf numFmtId="0" fontId="31" fillId="0" borderId="17" xfId="0" applyFont="1" applyFill="1" applyBorder="1"/>
    <xf numFmtId="0" fontId="31" fillId="0" borderId="17" xfId="0" applyFont="1" applyFill="1" applyBorder="1" applyAlignment="1">
      <alignment horizontal="centerContinuous"/>
    </xf>
    <xf numFmtId="219" fontId="31" fillId="0" borderId="17" xfId="0" quotePrefix="1" applyNumberFormat="1" applyFont="1" applyFill="1" applyBorder="1" applyAlignment="1">
      <alignment horizontal="center"/>
    </xf>
    <xf numFmtId="219" fontId="93" fillId="0" borderId="0" xfId="0" applyNumberFormat="1" applyFont="1" applyFill="1"/>
    <xf numFmtId="0" fontId="31" fillId="0" borderId="0" xfId="0" applyFont="1" applyFill="1" applyAlignment="1">
      <alignment horizontal="right"/>
    </xf>
    <xf numFmtId="0" fontId="31" fillId="0" borderId="0" xfId="0" applyFont="1" applyFill="1" applyBorder="1" applyAlignment="1">
      <alignment horizontal="left"/>
    </xf>
    <xf numFmtId="220" fontId="31" fillId="0" borderId="0" xfId="0" applyNumberFormat="1" applyFont="1" applyFill="1"/>
    <xf numFmtId="3" fontId="31" fillId="0" borderId="0" xfId="0" applyNumberFormat="1" applyFont="1" applyFill="1" applyBorder="1"/>
    <xf numFmtId="217" fontId="31" fillId="0" borderId="0" xfId="0" applyNumberFormat="1" applyFont="1" applyFill="1" applyBorder="1"/>
    <xf numFmtId="202" fontId="31" fillId="0" borderId="0" xfId="0" applyNumberFormat="1" applyFont="1" applyFill="1" applyBorder="1" applyAlignment="1">
      <alignment horizontal="right"/>
    </xf>
    <xf numFmtId="172" fontId="31" fillId="0" borderId="0" xfId="0" applyNumberFormat="1" applyFont="1" applyFill="1"/>
    <xf numFmtId="0" fontId="31" fillId="0" borderId="0" xfId="0" quotePrefix="1" applyFont="1" applyFill="1"/>
    <xf numFmtId="3" fontId="31" fillId="0" borderId="0" xfId="0" applyNumberFormat="1" applyFont="1" applyFill="1"/>
    <xf numFmtId="0" fontId="94" fillId="0" borderId="0" xfId="0" applyFont="1" applyFill="1" applyAlignment="1">
      <alignment horizontal="center"/>
    </xf>
    <xf numFmtId="0" fontId="94" fillId="0" borderId="0" xfId="0" applyFont="1" applyFill="1" applyAlignment="1">
      <alignment horizontal="left"/>
    </xf>
    <xf numFmtId="172" fontId="94" fillId="0" borderId="0" xfId="0" applyNumberFormat="1" applyFont="1" applyFill="1"/>
    <xf numFmtId="0" fontId="94" fillId="0" borderId="0" xfId="0" applyFont="1" applyFill="1"/>
    <xf numFmtId="202" fontId="94" fillId="0" borderId="31" xfId="0" applyNumberFormat="1" applyFont="1" applyFill="1" applyBorder="1" applyAlignment="1">
      <alignment horizontal="right"/>
    </xf>
    <xf numFmtId="202" fontId="31" fillId="0" borderId="0" xfId="0" applyNumberFormat="1" applyFont="1" applyFill="1" applyAlignment="1">
      <alignment horizontal="right"/>
    </xf>
    <xf numFmtId="170" fontId="31" fillId="0" borderId="0" xfId="0" applyNumberFormat="1" applyFont="1" applyFill="1"/>
    <xf numFmtId="202" fontId="31" fillId="0" borderId="0" xfId="0" applyNumberFormat="1" applyFont="1" applyFill="1"/>
    <xf numFmtId="202" fontId="31" fillId="0" borderId="29" xfId="0" applyNumberFormat="1" applyFont="1" applyFill="1" applyBorder="1" applyAlignment="1">
      <alignment horizontal="right"/>
    </xf>
    <xf numFmtId="221" fontId="94" fillId="0" borderId="0" xfId="0" applyNumberFormat="1" applyFont="1" applyFill="1"/>
    <xf numFmtId="202" fontId="94" fillId="0" borderId="0" xfId="0" applyNumberFormat="1" applyFont="1" applyFill="1" applyBorder="1" applyAlignment="1">
      <alignment horizontal="right"/>
    </xf>
    <xf numFmtId="221" fontId="31" fillId="0" borderId="0" xfId="0" applyNumberFormat="1" applyFont="1" applyFill="1"/>
    <xf numFmtId="0" fontId="31" fillId="0" borderId="0" xfId="0" applyFont="1" applyFill="1" applyBorder="1" applyAlignment="1">
      <alignment horizontal="center"/>
    </xf>
    <xf numFmtId="0" fontId="31" fillId="0" borderId="0" xfId="0" applyFont="1" applyFill="1" applyBorder="1"/>
    <xf numFmtId="206" fontId="7" fillId="0" borderId="0" xfId="0" applyNumberFormat="1" applyFont="1" applyFill="1"/>
    <xf numFmtId="202" fontId="31" fillId="0" borderId="17" xfId="0" applyNumberFormat="1" applyFont="1" applyFill="1" applyBorder="1" applyAlignment="1">
      <alignment horizontal="right"/>
    </xf>
    <xf numFmtId="202" fontId="94" fillId="30" borderId="17" xfId="0" applyNumberFormat="1" applyFont="1" applyFill="1" applyBorder="1" applyAlignment="1">
      <alignment horizontal="right"/>
    </xf>
    <xf numFmtId="221" fontId="31" fillId="0" borderId="17" xfId="0" applyNumberFormat="1" applyFont="1" applyFill="1" applyBorder="1" applyAlignment="1">
      <alignment horizontal="right"/>
    </xf>
    <xf numFmtId="217" fontId="31" fillId="0" borderId="17" xfId="0" applyNumberFormat="1" applyFont="1" applyFill="1" applyBorder="1" applyAlignment="1">
      <alignment horizontal="right"/>
    </xf>
    <xf numFmtId="202" fontId="31" fillId="0" borderId="17" xfId="0" applyNumberFormat="1" applyFont="1" applyFill="1" applyBorder="1" applyAlignment="1">
      <alignment horizontal="center"/>
    </xf>
    <xf numFmtId="202" fontId="94" fillId="0" borderId="29" xfId="0" applyNumberFormat="1" applyFont="1" applyFill="1" applyBorder="1" applyAlignment="1">
      <alignment horizontal="right"/>
    </xf>
    <xf numFmtId="170" fontId="94" fillId="0" borderId="0" xfId="0" applyNumberFormat="1" applyFont="1" applyFill="1"/>
    <xf numFmtId="217" fontId="94" fillId="0" borderId="0" xfId="0" applyNumberFormat="1" applyFont="1" applyFill="1"/>
    <xf numFmtId="221" fontId="31" fillId="0" borderId="17" xfId="0" applyNumberFormat="1" applyFont="1" applyFill="1" applyBorder="1"/>
    <xf numFmtId="217" fontId="31" fillId="0" borderId="0" xfId="0" applyNumberFormat="1" applyFont="1" applyFill="1" applyBorder="1" applyAlignment="1">
      <alignment horizontal="center"/>
    </xf>
    <xf numFmtId="221" fontId="31" fillId="0" borderId="0" xfId="0" applyNumberFormat="1" applyFont="1" applyFill="1" applyBorder="1"/>
    <xf numFmtId="0" fontId="94" fillId="0" borderId="0" xfId="0" applyFont="1" applyFill="1" applyBorder="1"/>
    <xf numFmtId="217" fontId="94" fillId="0" borderId="0" xfId="0" applyNumberFormat="1" applyFont="1" applyFill="1" applyBorder="1"/>
    <xf numFmtId="202" fontId="94" fillId="30" borderId="25" xfId="0" applyNumberFormat="1" applyFont="1" applyFill="1" applyBorder="1" applyAlignment="1">
      <alignment horizontal="right"/>
    </xf>
    <xf numFmtId="0" fontId="7" fillId="0" borderId="0" xfId="0" applyFont="1" applyBorder="1"/>
    <xf numFmtId="0" fontId="31" fillId="0" borderId="0" xfId="0" applyFont="1" applyAlignment="1">
      <alignment horizontal="left"/>
    </xf>
    <xf numFmtId="10" fontId="1" fillId="0" borderId="0" xfId="134" applyNumberFormat="1"/>
    <xf numFmtId="0" fontId="41" fillId="0" borderId="17" xfId="2" applyFont="1" applyBorder="1"/>
    <xf numFmtId="0" fontId="56" fillId="0" borderId="0" xfId="229" quotePrefix="1" applyFont="1" applyFill="1" applyAlignment="1">
      <alignment horizontal="left" vertical="top" wrapText="1"/>
    </xf>
    <xf numFmtId="0" fontId="41" fillId="0" borderId="0" xfId="2" applyFont="1" applyBorder="1"/>
    <xf numFmtId="172" fontId="4" fillId="0" borderId="0" xfId="208" applyNumberFormat="1" applyFont="1" applyBorder="1" applyAlignment="1">
      <alignment horizontal="center" vertical="center"/>
    </xf>
    <xf numFmtId="172" fontId="4" fillId="0" borderId="0" xfId="208" applyNumberFormat="1" applyFont="1" applyBorder="1" applyAlignment="1">
      <alignment horizontal="center" vertical="center" wrapText="1"/>
    </xf>
    <xf numFmtId="172" fontId="4" fillId="0" borderId="17" xfId="208" applyNumberFormat="1" applyFont="1" applyBorder="1" applyAlignment="1">
      <alignment horizontal="center" vertical="center"/>
    </xf>
    <xf numFmtId="0" fontId="4" fillId="0" borderId="0" xfId="0" applyFont="1" applyBorder="1" applyAlignment="1">
      <alignment horizontal="center"/>
    </xf>
    <xf numFmtId="0" fontId="4" fillId="0" borderId="0" xfId="0" quotePrefix="1" applyFont="1" applyBorder="1" applyAlignment="1">
      <alignment horizontal="center"/>
    </xf>
    <xf numFmtId="176" fontId="4" fillId="0" borderId="0" xfId="243" applyNumberFormat="1" applyFont="1" applyFill="1" applyBorder="1" applyAlignment="1">
      <alignment horizontal="center" vertical="center"/>
    </xf>
    <xf numFmtId="191" fontId="4" fillId="0" borderId="0" xfId="243" applyNumberFormat="1" applyFont="1" applyFill="1" applyBorder="1" applyAlignment="1">
      <alignment horizontal="center" vertical="center"/>
    </xf>
    <xf numFmtId="174" fontId="53" fillId="0" borderId="0" xfId="228" applyNumberFormat="1" applyFont="1" applyFill="1"/>
    <xf numFmtId="192" fontId="41" fillId="0" borderId="0" xfId="225" applyNumberFormat="1" applyFont="1" applyFill="1" applyBorder="1" applyAlignment="1">
      <alignment horizontal="center"/>
    </xf>
    <xf numFmtId="0" fontId="41" fillId="0" borderId="0" xfId="209" applyFont="1" applyFill="1" applyBorder="1" applyAlignment="1">
      <alignment horizontal="center"/>
    </xf>
    <xf numFmtId="192" fontId="41" fillId="0" borderId="17" xfId="225" applyNumberFormat="1" applyFont="1" applyFill="1" applyBorder="1" applyAlignment="1">
      <alignment horizontal="center"/>
    </xf>
    <xf numFmtId="0" fontId="90" fillId="0" borderId="0" xfId="2" applyFont="1"/>
    <xf numFmtId="0" fontId="0" fillId="0" borderId="0" xfId="0" applyAlignment="1">
      <alignment vertical="center"/>
    </xf>
    <xf numFmtId="1" fontId="39" fillId="0" borderId="0" xfId="228" applyNumberFormat="1" applyFont="1" applyAlignment="1">
      <alignment horizontal="left"/>
    </xf>
    <xf numFmtId="0" fontId="56" fillId="0" borderId="0" xfId="229" quotePrefix="1" applyFont="1" applyFill="1" applyAlignment="1">
      <alignment horizontal="left" vertical="top" wrapText="1"/>
    </xf>
    <xf numFmtId="0" fontId="55" fillId="0" borderId="0" xfId="228" applyFont="1" applyFill="1" applyBorder="1" applyAlignment="1">
      <alignment horizontal="center" vertical="top"/>
    </xf>
    <xf numFmtId="0" fontId="4" fillId="0" borderId="0" xfId="228" applyFont="1" applyFill="1" applyBorder="1" applyAlignment="1">
      <alignment horizontal="center" vertical="top" wrapText="1"/>
    </xf>
    <xf numFmtId="0" fontId="56" fillId="0" borderId="0" xfId="267" quotePrefix="1" applyFont="1" applyAlignment="1">
      <alignment horizontal="left" wrapText="1"/>
    </xf>
  </cellXfs>
  <cellStyles count="268">
    <cellStyle name="20% - Accent1 2" xfId="3"/>
    <cellStyle name="20% - Accent1 3" xfId="135"/>
    <cellStyle name="20% - Accent2 2" xfId="4"/>
    <cellStyle name="20% - Accent2 3" xfId="136"/>
    <cellStyle name="20% - Accent3 2" xfId="5"/>
    <cellStyle name="20% - Accent3 3" xfId="137"/>
    <cellStyle name="20% - Accent4 2" xfId="6"/>
    <cellStyle name="20% - Accent4 3" xfId="138"/>
    <cellStyle name="20% - Accent5 2" xfId="7"/>
    <cellStyle name="20% - Accent6 2" xfId="8"/>
    <cellStyle name="20% - Accent6 3" xfId="139"/>
    <cellStyle name="40% - Accent1 2" xfId="9"/>
    <cellStyle name="40% - Accent1 3" xfId="140"/>
    <cellStyle name="40% - Accent2 2" xfId="10"/>
    <cellStyle name="40% - Accent3 2" xfId="11"/>
    <cellStyle name="40% - Accent3 3" xfId="141"/>
    <cellStyle name="40% - Accent4 2" xfId="12"/>
    <cellStyle name="40% - Accent4 3" xfId="142"/>
    <cellStyle name="40% - Accent5 2" xfId="13"/>
    <cellStyle name="40% - Accent5 3" xfId="143"/>
    <cellStyle name="40% - Accent6 2" xfId="14"/>
    <cellStyle name="40% - Accent6 3" xfId="144"/>
    <cellStyle name="60% - Accent1 2" xfId="15"/>
    <cellStyle name="60% - Accent1 3" xfId="145"/>
    <cellStyle name="60% - Accent2 2" xfId="16"/>
    <cellStyle name="60% - Accent2 3" xfId="146"/>
    <cellStyle name="60% - Accent3 2" xfId="17"/>
    <cellStyle name="60% - Accent3 3" xfId="147"/>
    <cellStyle name="60% - Accent4 2" xfId="18"/>
    <cellStyle name="60% - Accent4 3" xfId="148"/>
    <cellStyle name="60% - Accent5 2" xfId="19"/>
    <cellStyle name="60% - Accent5 3" xfId="149"/>
    <cellStyle name="60% - Accent6 2" xfId="20"/>
    <cellStyle name="60% - Accent6 3" xfId="150"/>
    <cellStyle name="Accent1 2" xfId="21"/>
    <cellStyle name="Accent1 3" xfId="151"/>
    <cellStyle name="Accent2 2" xfId="22"/>
    <cellStyle name="Accent2 3" xfId="152"/>
    <cellStyle name="Accent3 2" xfId="23"/>
    <cellStyle name="Accent3 3" xfId="153"/>
    <cellStyle name="Accent4 2" xfId="24"/>
    <cellStyle name="Accent4 3" xfId="154"/>
    <cellStyle name="Accent5 2" xfId="25"/>
    <cellStyle name="Accent6 2" xfId="26"/>
    <cellStyle name="Accent6 3" xfId="155"/>
    <cellStyle name="AMN" xfId="27"/>
    <cellStyle name="Bad 2" xfId="28"/>
    <cellStyle name="Bad 3" xfId="156"/>
    <cellStyle name="Bad 4" xfId="238"/>
    <cellStyle name="BodyStyle" xfId="157"/>
    <cellStyle name="BodyStyle 2" xfId="242"/>
    <cellStyle name="Bridget" xfId="29"/>
    <cellStyle name="Calculation 2" xfId="30"/>
    <cellStyle name="Calculation 3" xfId="158"/>
    <cellStyle name="Check Cell 2" xfId="31"/>
    <cellStyle name="COLUMN A" xfId="32"/>
    <cellStyle name="Comma" xfId="1" builtinId="3"/>
    <cellStyle name="Comma [0] 2" xfId="87"/>
    <cellStyle name="Comma [0] 3" xfId="86"/>
    <cellStyle name="Comma 10" xfId="88"/>
    <cellStyle name="Comma 11" xfId="89"/>
    <cellStyle name="Comma 12" xfId="90"/>
    <cellStyle name="Comma 13" xfId="91"/>
    <cellStyle name="Comma 14" xfId="92"/>
    <cellStyle name="Comma 15" xfId="93"/>
    <cellStyle name="Comma 16" xfId="94"/>
    <cellStyle name="Comma 17" xfId="95"/>
    <cellStyle name="Comma 18" xfId="96"/>
    <cellStyle name="Comma 19" xfId="97"/>
    <cellStyle name="Comma 2" xfId="33"/>
    <cellStyle name="Comma 2 2" xfId="98"/>
    <cellStyle name="Comma 2 2 2" xfId="161"/>
    <cellStyle name="Comma 2 2 3" xfId="243"/>
    <cellStyle name="Comma 2 3" xfId="83"/>
    <cellStyle name="Comma 2 4" xfId="69"/>
    <cellStyle name="Comma 2 5" xfId="160"/>
    <cellStyle name="Comma 2 6" xfId="244"/>
    <cellStyle name="Comma 20" xfId="99"/>
    <cellStyle name="Comma 21" xfId="100"/>
    <cellStyle name="Comma 22" xfId="101"/>
    <cellStyle name="Comma 23" xfId="102"/>
    <cellStyle name="Comma 24" xfId="103"/>
    <cellStyle name="Comma 25" xfId="104"/>
    <cellStyle name="Comma 26" xfId="105"/>
    <cellStyle name="Comma 27" xfId="106"/>
    <cellStyle name="Comma 28" xfId="85"/>
    <cellStyle name="Comma 29" xfId="116"/>
    <cellStyle name="Comma 3" xfId="71"/>
    <cellStyle name="Comma 3 2" xfId="107"/>
    <cellStyle name="Comma 30" xfId="118"/>
    <cellStyle name="Comma 31" xfId="117"/>
    <cellStyle name="Comma 32" xfId="120"/>
    <cellStyle name="Comma 33" xfId="122"/>
    <cellStyle name="Comma 34" xfId="121"/>
    <cellStyle name="Comma 35" xfId="123"/>
    <cellStyle name="Comma 36" xfId="124"/>
    <cellStyle name="Comma 37" xfId="128"/>
    <cellStyle name="Comma 38" xfId="127"/>
    <cellStyle name="Comma 39" xfId="126"/>
    <cellStyle name="Comma 4" xfId="108"/>
    <cellStyle name="Comma 4 2" xfId="233"/>
    <cellStyle name="Comma 4 3" xfId="262"/>
    <cellStyle name="Comma 40" xfId="130"/>
    <cellStyle name="Comma 41" xfId="125"/>
    <cellStyle name="Comma 42" xfId="131"/>
    <cellStyle name="Comma 43" xfId="132"/>
    <cellStyle name="Comma 44" xfId="133"/>
    <cellStyle name="Comma 45" xfId="79"/>
    <cellStyle name="Comma 46" xfId="73"/>
    <cellStyle name="Comma 47" xfId="76"/>
    <cellStyle name="Comma 48" xfId="72"/>
    <cellStyle name="Comma 49" xfId="67"/>
    <cellStyle name="Comma 5" xfId="109"/>
    <cellStyle name="Comma 5 2" xfId="240"/>
    <cellStyle name="Comma 50" xfId="159"/>
    <cellStyle name="Comma 51" xfId="219"/>
    <cellStyle name="Comma 51 2" xfId="232"/>
    <cellStyle name="Comma 52" xfId="217"/>
    <cellStyle name="Comma 53" xfId="245"/>
    <cellStyle name="Comma 54" xfId="246"/>
    <cellStyle name="Comma 55" xfId="247"/>
    <cellStyle name="Comma 56" xfId="248"/>
    <cellStyle name="Comma 57" xfId="249"/>
    <cellStyle name="Comma 6" xfId="110"/>
    <cellStyle name="Comma 7" xfId="111"/>
    <cellStyle name="Comma 7 2" xfId="162"/>
    <cellStyle name="Comma 7 3" xfId="250"/>
    <cellStyle name="Comma 8" xfId="112"/>
    <cellStyle name="Comma 9" xfId="113"/>
    <cellStyle name="Comma_2006 Tolls_Application_March Interim_IRA (working copy)" xfId="225"/>
    <cellStyle name="Comma_2006 Tolls_Application_March Interim_IRA (working copy) 2" xfId="226"/>
    <cellStyle name="Comma0" xfId="34"/>
    <cellStyle name="Comma0 2" xfId="129"/>
    <cellStyle name="Comma0 3" xfId="119"/>
    <cellStyle name="Comma0 4" xfId="74"/>
    <cellStyle name="Comma0 5" xfId="251"/>
    <cellStyle name="CompanyNum" xfId="35"/>
    <cellStyle name="Currdncy_P-9 - trans by region" xfId="36"/>
    <cellStyle name="Currency 10" xfId="163"/>
    <cellStyle name="Currency 2" xfId="37"/>
    <cellStyle name="Currency 2 2" xfId="261"/>
    <cellStyle name="Currency 3" xfId="80"/>
    <cellStyle name="Currency 3 2" xfId="234"/>
    <cellStyle name="Currency 4" xfId="75"/>
    <cellStyle name="Currency 4 2" xfId="241"/>
    <cellStyle name="Currency 5" xfId="220"/>
    <cellStyle name="Currency 5 2" xfId="227"/>
    <cellStyle name="Currency 6" xfId="252"/>
    <cellStyle name="Euro" xfId="164"/>
    <cellStyle name="Explanatory Text 2" xfId="38"/>
    <cellStyle name="Formula (,)" xfId="39"/>
    <cellStyle name="Formula (,0)" xfId="40"/>
    <cellStyle name="Good 2" xfId="41"/>
    <cellStyle name="Good 3" xfId="165"/>
    <cellStyle name="Good 4" xfId="237"/>
    <cellStyle name="Heading 1 2" xfId="42"/>
    <cellStyle name="Heading 1 3" xfId="166"/>
    <cellStyle name="Heading 2 2" xfId="43"/>
    <cellStyle name="Heading 2 3" xfId="167"/>
    <cellStyle name="Heading 3 2" xfId="44"/>
    <cellStyle name="Heading 3 3" xfId="168"/>
    <cellStyle name="Heading 4 2" xfId="45"/>
    <cellStyle name="Heading 4 3" xfId="169"/>
    <cellStyle name="Input 2" xfId="46"/>
    <cellStyle name="Input 3" xfId="170"/>
    <cellStyle name="left" xfId="47"/>
    <cellStyle name="Linked Cell 2" xfId="48"/>
    <cellStyle name="Linked Cell 3" xfId="171"/>
    <cellStyle name="Milliers_Rate Base" xfId="172"/>
    <cellStyle name="Monétaire_wind_resource_budget_hb (3)" xfId="49"/>
    <cellStyle name="Neutral 2" xfId="50"/>
    <cellStyle name="Neutral 3" xfId="173"/>
    <cellStyle name="Normal" xfId="0" builtinId="0"/>
    <cellStyle name="Normal 10" xfId="174"/>
    <cellStyle name="Normal 10 2" xfId="264"/>
    <cellStyle name="Normal 11" xfId="175"/>
    <cellStyle name="Normal 12" xfId="253"/>
    <cellStyle name="Normal 13" xfId="254"/>
    <cellStyle name="Normal 14" xfId="265"/>
    <cellStyle name="Normal 2" xfId="51"/>
    <cellStyle name="Normal 2 10" xfId="176"/>
    <cellStyle name="Normal 2 11" xfId="177"/>
    <cellStyle name="Normal 2 12" xfId="178"/>
    <cellStyle name="Normal 2 13" xfId="179"/>
    <cellStyle name="Normal 2 14" xfId="180"/>
    <cellStyle name="Normal 2 15" xfId="181"/>
    <cellStyle name="Normal 2 16" xfId="182"/>
    <cellStyle name="Normal 2 17" xfId="183"/>
    <cellStyle name="Normal 2 18" xfId="221"/>
    <cellStyle name="Normal 2 18 2" xfId="267"/>
    <cellStyle name="Normal 2 19" xfId="260"/>
    <cellStyle name="Normal 2 2" xfId="184"/>
    <cellStyle name="Normal 2 2 2" xfId="185"/>
    <cellStyle name="Normal 2 2 3" xfId="223"/>
    <cellStyle name="Normal 2 2 9" xfId="186"/>
    <cellStyle name="Normal 2 2_2011 DMR Calculation" xfId="187"/>
    <cellStyle name="Normal 2 3" xfId="188"/>
    <cellStyle name="Normal 2 4" xfId="189"/>
    <cellStyle name="Normal 2 5" xfId="190"/>
    <cellStyle name="Normal 2 6" xfId="191"/>
    <cellStyle name="Normal 2 7" xfId="192"/>
    <cellStyle name="Normal 2 8" xfId="193"/>
    <cellStyle name="Normal 2 9" xfId="194"/>
    <cellStyle name="Normal 2_2011_08_11 BASR - (2012) Illustrative Tolls" xfId="195"/>
    <cellStyle name="Normal 21" xfId="196"/>
    <cellStyle name="Normal 22" xfId="197"/>
    <cellStyle name="Normal 24" xfId="198"/>
    <cellStyle name="Normal 3" xfId="2"/>
    <cellStyle name="Normal 3 2" xfId="82"/>
    <cellStyle name="Normal 3 2 2" xfId="224"/>
    <cellStyle name="Normal 3 3" xfId="68"/>
    <cellStyle name="Normal 3 4" xfId="199"/>
    <cellStyle name="Normal 3 5" xfId="266"/>
    <cellStyle name="Normal 3_2010_12_09 2011_Settlement_Tolls_File" xfId="200"/>
    <cellStyle name="Normal 39" xfId="201"/>
    <cellStyle name="Normal 4" xfId="70"/>
    <cellStyle name="Normal 4 2" xfId="78"/>
    <cellStyle name="Normal 4 3" xfId="202"/>
    <cellStyle name="Normal 4 4" xfId="255"/>
    <cellStyle name="Normal 5" xfId="203"/>
    <cellStyle name="Normal 6" xfId="218"/>
    <cellStyle name="Normal 6 2" xfId="228"/>
    <cellStyle name="Normal 7" xfId="216"/>
    <cellStyle name="Normal 7 2" xfId="239"/>
    <cellStyle name="Normal 8" xfId="204"/>
    <cellStyle name="Normal 8 23" xfId="205"/>
    <cellStyle name="Normal 8_2012-20 Translation (Case A)" xfId="206"/>
    <cellStyle name="Normal 9" xfId="256"/>
    <cellStyle name="Normal 90" xfId="207"/>
    <cellStyle name="Normal_08 Interim Tolls paulo 2" xfId="236"/>
    <cellStyle name="Normal_2012_06 2013 Revised RP (June 29 Filing)" xfId="229"/>
    <cellStyle name="Normal_Distance Grid-2004psd_2011_Settlement_Tolls" xfId="230"/>
    <cellStyle name="Normal_Sch_5.1" xfId="208"/>
    <cellStyle name="Normal_Tab1 (Feb 28 00)" xfId="209"/>
    <cellStyle name="Normal_TD-4.8" xfId="231"/>
    <cellStyle name="Note 2" xfId="52"/>
    <cellStyle name="Note 3" xfId="210"/>
    <cellStyle name="omega-11" xfId="211"/>
    <cellStyle name="Output 2" xfId="53"/>
    <cellStyle name="Output 3" xfId="212"/>
    <cellStyle name="Percent" xfId="134" builtinId="5"/>
    <cellStyle name="Percent 2" xfId="54"/>
    <cellStyle name="Percent 2 2" xfId="115"/>
    <cellStyle name="Percent 2 3" xfId="84"/>
    <cellStyle name="Percent 2 4" xfId="213"/>
    <cellStyle name="Percent 2 5" xfId="257"/>
    <cellStyle name="Percent 3" xfId="114"/>
    <cellStyle name="Percent 3 2" xfId="235"/>
    <cellStyle name="Percent 3 3" xfId="263"/>
    <cellStyle name="Percent 4" xfId="81"/>
    <cellStyle name="Percent 5" xfId="77"/>
    <cellStyle name="Percent 6" xfId="222"/>
    <cellStyle name="Percent 7" xfId="258"/>
    <cellStyle name="Percent 8" xfId="259"/>
    <cellStyle name="Title 2" xfId="55"/>
    <cellStyle name="Title 3" xfId="214"/>
    <cellStyle name="top" xfId="56"/>
    <cellStyle name="top align text" xfId="57"/>
    <cellStyle name="TOP ALIGNED" xfId="58"/>
    <cellStyle name="top alignment" xfId="59"/>
    <cellStyle name="top text" xfId="60"/>
    <cellStyle name="top wrap text" xfId="61"/>
    <cellStyle name="Total 2" xfId="62"/>
    <cellStyle name="Total 3" xfId="215"/>
    <cellStyle name="total column" xfId="63"/>
    <cellStyle name="Warning Text 2" xfId="64"/>
    <cellStyle name="wrap text" xfId="65"/>
    <cellStyle name="표준_2001 Ichon Business Plan " xfId="66"/>
  </cellStyles>
  <dxfs count="0"/>
  <tableStyles count="0" defaultTableStyle="TableStyleMedium2" defaultPivotStyle="PivotStyleLight16"/>
  <colors>
    <mruColors>
      <color rgb="FFFFFF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47625</xdr:colOff>
      <xdr:row>36</xdr:row>
      <xdr:rowOff>178594</xdr:rowOff>
    </xdr:from>
    <xdr:to>
      <xdr:col>13</xdr:col>
      <xdr:colOff>583406</xdr:colOff>
      <xdr:row>48</xdr:row>
      <xdr:rowOff>130970</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654844" y="6846094"/>
          <a:ext cx="12346781" cy="223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Notes, Information, Background:</a:t>
          </a:r>
        </a:p>
        <a:p>
          <a:r>
            <a:rPr lang="en-US" sz="1400"/>
            <a:t>-</a:t>
          </a:r>
          <a:r>
            <a:rPr lang="en-US" sz="1400" baseline="0"/>
            <a:t> </a:t>
          </a:r>
          <a:r>
            <a:rPr lang="en-US" sz="1400"/>
            <a:t>The</a:t>
          </a:r>
          <a:r>
            <a:rPr lang="en-US" sz="1400" baseline="0"/>
            <a:t> 2015-2020 Settlement Application was the first time the  SNB toll was calculated to be fixed over a six year period.  Since an input to the calculation is the GPIS and accumulated depreciation for pipe and compression, but a long term forecast was not available for these variables, a 2014 forecast was instead used and held flat for the 2015-2020 period.</a:t>
          </a:r>
        </a:p>
        <a:p>
          <a:r>
            <a:rPr lang="en-US" sz="1400" baseline="0"/>
            <a:t>- Alternatively, for the  2015 Compliance model, we decided to use the same proportion split between pipeline, compression structure and compression equipment  </a:t>
          </a:r>
          <a:r>
            <a:rPr lang="en-US" sz="1400" b="1" baseline="0"/>
            <a:t>From the RH-003-2011 filing </a:t>
          </a:r>
          <a:r>
            <a:rPr lang="en-US" sz="1400" baseline="0"/>
            <a:t>then apply that proportion to the annual Transmission Mainline Net Plant.  Using this method the calculation of SNB is in line with  how it was done in RH-003-2011.</a:t>
          </a:r>
        </a:p>
        <a:p>
          <a:r>
            <a:rPr lang="en-US" sz="1400"/>
            <a:t>- The Linepack and Storage gas</a:t>
          </a:r>
          <a:r>
            <a:rPr lang="en-US" sz="1400" baseline="0"/>
            <a:t> come from Accounting, or in the case of this model, from Appendix A.  These are separate from Net Plant.</a:t>
          </a:r>
          <a:endParaRPr 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nscanada-my.sharepoint.com/Market_and_Supply_Planning/200%20SERIES%20-%20DEMAND/206%20-%20Demand%20Forecasts/MVF2000/2000%20MV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INFORQTS"/>
      <sheetName val="2001MVF"/>
      <sheetName val="2000MVF"/>
      <sheetName val="1999 Actual"/>
      <sheetName val="1999MVF-991101"/>
      <sheetName val="1999MVF-990216"/>
      <sheetName val="1999MVF-981104"/>
      <sheetName val="1998 Actual"/>
      <sheetName val="1998MVF"/>
      <sheetName val="1997 Actual"/>
    </sheetNames>
    <sheetDataSet>
      <sheetData sheetId="0" refreshError="1">
        <row r="7">
          <cell r="B7">
            <v>366</v>
          </cell>
        </row>
        <row r="11">
          <cell r="B11">
            <v>29</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239"/>
  <sheetViews>
    <sheetView zoomScale="75" workbookViewId="0">
      <pane xSplit="1" ySplit="4" topLeftCell="B6" activePane="bottomRight" state="frozen"/>
      <selection activeCell="A114" sqref="A114"/>
      <selection pane="topRight" activeCell="A114" sqref="A114"/>
      <selection pane="bottomLeft" activeCell="A114" sqref="A114"/>
      <selection pane="bottomRight" activeCell="C20" sqref="C20"/>
    </sheetView>
  </sheetViews>
  <sheetFormatPr defaultColWidth="9.109375" defaultRowHeight="13.2" outlineLevelRow="1"/>
  <cols>
    <col min="1" max="1" width="37.88671875" style="83" customWidth="1"/>
    <col min="2" max="2" width="7.33203125" style="83" customWidth="1"/>
    <col min="3" max="8" width="18.33203125" style="83" customWidth="1"/>
    <col min="9" max="9" width="18.33203125" style="267" customWidth="1"/>
    <col min="10" max="18" width="18.33203125" style="83" customWidth="1"/>
    <col min="19" max="16384" width="9.109375" style="83"/>
  </cols>
  <sheetData>
    <row r="1" spans="1:18">
      <c r="A1" s="260" t="s">
        <v>285</v>
      </c>
      <c r="B1" s="348"/>
    </row>
    <row r="2" spans="1:18">
      <c r="B2" s="347"/>
      <c r="C2" s="347">
        <v>365</v>
      </c>
      <c r="D2" s="347">
        <v>365</v>
      </c>
      <c r="E2" s="347">
        <v>365</v>
      </c>
      <c r="F2" s="347">
        <v>365</v>
      </c>
      <c r="G2" s="347">
        <v>365</v>
      </c>
      <c r="H2" s="347">
        <v>365</v>
      </c>
      <c r="I2" s="346">
        <v>365</v>
      </c>
      <c r="J2" s="347">
        <v>365</v>
      </c>
      <c r="K2" s="347">
        <v>365</v>
      </c>
      <c r="L2" s="347">
        <v>365</v>
      </c>
      <c r="M2" s="347">
        <v>365</v>
      </c>
      <c r="N2" s="347">
        <v>365</v>
      </c>
      <c r="O2" s="347">
        <v>365</v>
      </c>
      <c r="P2" s="347">
        <v>365</v>
      </c>
      <c r="Q2" s="347">
        <v>365</v>
      </c>
      <c r="R2" s="347">
        <v>365</v>
      </c>
    </row>
    <row r="3" spans="1:18">
      <c r="B3" s="343"/>
      <c r="C3" s="343"/>
      <c r="D3" s="343"/>
      <c r="E3" s="343"/>
      <c r="F3" s="343"/>
      <c r="G3" s="343"/>
      <c r="H3" s="343"/>
      <c r="I3" s="346"/>
      <c r="J3" s="343"/>
      <c r="K3" s="343"/>
      <c r="L3" s="343"/>
      <c r="M3" s="343"/>
      <c r="N3" s="343"/>
      <c r="O3" s="343"/>
      <c r="P3" s="343"/>
      <c r="Q3" s="343"/>
      <c r="R3" s="343"/>
    </row>
    <row r="4" spans="1:18">
      <c r="A4" s="84" t="s">
        <v>284</v>
      </c>
      <c r="B4" s="85"/>
      <c r="C4" s="85">
        <v>2015</v>
      </c>
      <c r="D4" s="85">
        <v>2016</v>
      </c>
      <c r="E4" s="85">
        <v>2017</v>
      </c>
      <c r="F4" s="85">
        <v>2018</v>
      </c>
      <c r="G4" s="85">
        <v>2019</v>
      </c>
      <c r="H4" s="85">
        <v>2020</v>
      </c>
      <c r="I4" s="345">
        <v>2021</v>
      </c>
      <c r="J4" s="85">
        <v>2022</v>
      </c>
      <c r="K4" s="85">
        <v>2023</v>
      </c>
      <c r="L4" s="85">
        <v>2024</v>
      </c>
      <c r="M4" s="85">
        <v>2025</v>
      </c>
      <c r="N4" s="85">
        <v>2026</v>
      </c>
      <c r="O4" s="85">
        <v>2027</v>
      </c>
      <c r="P4" s="85">
        <v>2028</v>
      </c>
      <c r="Q4" s="85">
        <v>2029</v>
      </c>
      <c r="R4" s="85">
        <v>2030</v>
      </c>
    </row>
    <row r="5" spans="1:18">
      <c r="B5" s="343"/>
      <c r="C5" s="343"/>
      <c r="D5" s="343"/>
      <c r="E5" s="343"/>
      <c r="F5" s="343"/>
      <c r="G5" s="343"/>
      <c r="H5" s="343"/>
      <c r="I5" s="344"/>
      <c r="J5" s="343"/>
      <c r="K5" s="343"/>
      <c r="L5" s="343"/>
      <c r="M5" s="343"/>
      <c r="N5" s="343"/>
      <c r="O5" s="343"/>
      <c r="P5" s="343"/>
      <c r="Q5" s="343"/>
      <c r="R5" s="343"/>
    </row>
    <row r="6" spans="1:18">
      <c r="A6" s="337" t="s">
        <v>283</v>
      </c>
      <c r="B6" s="336"/>
      <c r="C6" s="336"/>
      <c r="D6" s="336"/>
      <c r="E6" s="336"/>
      <c r="F6" s="336"/>
      <c r="G6" s="336"/>
      <c r="H6" s="336"/>
      <c r="I6" s="313"/>
      <c r="J6" s="336"/>
      <c r="K6" s="336"/>
      <c r="L6" s="336"/>
      <c r="M6" s="336"/>
      <c r="N6" s="336"/>
      <c r="O6" s="336"/>
      <c r="P6" s="336"/>
      <c r="Q6" s="336"/>
      <c r="R6" s="336"/>
    </row>
    <row r="7" spans="1:18">
      <c r="A7" s="256" t="s">
        <v>260</v>
      </c>
      <c r="B7" s="326"/>
      <c r="C7" s="326" t="e">
        <f>#REF!</f>
        <v>#REF!</v>
      </c>
      <c r="D7" s="326" t="e">
        <f>#REF!</f>
        <v>#REF!</v>
      </c>
      <c r="E7" s="326" t="e">
        <f>#REF!</f>
        <v>#REF!</v>
      </c>
      <c r="F7" s="326" t="e">
        <f>#REF!</f>
        <v>#REF!</v>
      </c>
      <c r="G7" s="326" t="e">
        <f>#REF!</f>
        <v>#REF!</v>
      </c>
      <c r="H7" s="326" t="e">
        <f>#REF!</f>
        <v>#REF!</v>
      </c>
      <c r="I7" s="335" t="e">
        <f>#REF!</f>
        <v>#REF!</v>
      </c>
      <c r="J7" s="326" t="e">
        <f>#REF!</f>
        <v>#REF!</v>
      </c>
      <c r="K7" s="326" t="e">
        <f>#REF!</f>
        <v>#REF!</v>
      </c>
      <c r="L7" s="326" t="e">
        <f>#REF!</f>
        <v>#REF!</v>
      </c>
      <c r="M7" s="326" t="e">
        <f>#REF!</f>
        <v>#REF!</v>
      </c>
      <c r="N7" s="326" t="e">
        <f>#REF!</f>
        <v>#REF!</v>
      </c>
      <c r="O7" s="326" t="e">
        <f>#REF!</f>
        <v>#REF!</v>
      </c>
      <c r="P7" s="326" t="e">
        <f>#REF!</f>
        <v>#REF!</v>
      </c>
      <c r="Q7" s="326" t="e">
        <f>#REF!</f>
        <v>#REF!</v>
      </c>
      <c r="R7" s="326" t="e">
        <f>#REF!</f>
        <v>#REF!</v>
      </c>
    </row>
    <row r="8" spans="1:18">
      <c r="A8" s="256" t="s">
        <v>259</v>
      </c>
      <c r="B8" s="326"/>
      <c r="C8" s="326" t="e">
        <f>#REF!</f>
        <v>#REF!</v>
      </c>
      <c r="D8" s="326" t="e">
        <f>#REF!</f>
        <v>#REF!</v>
      </c>
      <c r="E8" s="326" t="e">
        <f>#REF!</f>
        <v>#REF!</v>
      </c>
      <c r="F8" s="326" t="e">
        <f>#REF!</f>
        <v>#REF!</v>
      </c>
      <c r="G8" s="326" t="e">
        <f>#REF!</f>
        <v>#REF!</v>
      </c>
      <c r="H8" s="326" t="e">
        <f>#REF!</f>
        <v>#REF!</v>
      </c>
      <c r="I8" s="335" t="e">
        <f>#REF!</f>
        <v>#REF!</v>
      </c>
      <c r="J8" s="326" t="e">
        <f>#REF!</f>
        <v>#REF!</v>
      </c>
      <c r="K8" s="326" t="e">
        <f>#REF!</f>
        <v>#REF!</v>
      </c>
      <c r="L8" s="326" t="e">
        <f>#REF!</f>
        <v>#REF!</v>
      </c>
      <c r="M8" s="326" t="e">
        <f>#REF!</f>
        <v>#REF!</v>
      </c>
      <c r="N8" s="326" t="e">
        <f>#REF!</f>
        <v>#REF!</v>
      </c>
      <c r="O8" s="326" t="e">
        <f>#REF!</f>
        <v>#REF!</v>
      </c>
      <c r="P8" s="326" t="e">
        <f>#REF!</f>
        <v>#REF!</v>
      </c>
      <c r="Q8" s="326" t="e">
        <f>#REF!</f>
        <v>#REF!</v>
      </c>
      <c r="R8" s="326" t="e">
        <f>#REF!</f>
        <v>#REF!</v>
      </c>
    </row>
    <row r="9" spans="1:18">
      <c r="A9" s="256" t="s">
        <v>258</v>
      </c>
      <c r="B9" s="326"/>
      <c r="C9" s="326" t="e">
        <f>#REF!</f>
        <v>#REF!</v>
      </c>
      <c r="D9" s="326" t="e">
        <f>#REF!</f>
        <v>#REF!</v>
      </c>
      <c r="E9" s="326" t="e">
        <f>#REF!</f>
        <v>#REF!</v>
      </c>
      <c r="F9" s="326" t="e">
        <f>#REF!</f>
        <v>#REF!</v>
      </c>
      <c r="G9" s="326" t="e">
        <f>#REF!</f>
        <v>#REF!</v>
      </c>
      <c r="H9" s="326" t="e">
        <f>#REF!</f>
        <v>#REF!</v>
      </c>
      <c r="I9" s="335" t="e">
        <f>#REF!</f>
        <v>#REF!</v>
      </c>
      <c r="J9" s="263" t="e">
        <f>#REF!</f>
        <v>#REF!</v>
      </c>
      <c r="K9" s="263" t="e">
        <f>#REF!</f>
        <v>#REF!</v>
      </c>
      <c r="L9" s="263" t="e">
        <f>#REF!</f>
        <v>#REF!</v>
      </c>
      <c r="M9" s="263" t="e">
        <f>#REF!</f>
        <v>#REF!</v>
      </c>
      <c r="N9" s="263" t="e">
        <f>#REF!</f>
        <v>#REF!</v>
      </c>
      <c r="O9" s="263" t="e">
        <f>#REF!</f>
        <v>#REF!</v>
      </c>
      <c r="P9" s="263" t="e">
        <f>#REF!</f>
        <v>#REF!</v>
      </c>
      <c r="Q9" s="263" t="e">
        <f>#REF!</f>
        <v>#REF!</v>
      </c>
      <c r="R9" s="263" t="e">
        <f>#REF!</f>
        <v>#REF!</v>
      </c>
    </row>
    <row r="10" spans="1:18">
      <c r="A10" s="334" t="s">
        <v>219</v>
      </c>
      <c r="B10" s="332"/>
      <c r="C10" s="332" t="e">
        <f t="shared" ref="C10:R10" si="0">SUM(C7:C9)</f>
        <v>#REF!</v>
      </c>
      <c r="D10" s="332" t="e">
        <f t="shared" si="0"/>
        <v>#REF!</v>
      </c>
      <c r="E10" s="332" t="e">
        <f t="shared" si="0"/>
        <v>#REF!</v>
      </c>
      <c r="F10" s="332" t="e">
        <f t="shared" si="0"/>
        <v>#REF!</v>
      </c>
      <c r="G10" s="332" t="e">
        <f t="shared" si="0"/>
        <v>#REF!</v>
      </c>
      <c r="H10" s="332" t="e">
        <f t="shared" si="0"/>
        <v>#REF!</v>
      </c>
      <c r="I10" s="333" t="e">
        <f t="shared" si="0"/>
        <v>#REF!</v>
      </c>
      <c r="J10" s="332" t="e">
        <f t="shared" si="0"/>
        <v>#REF!</v>
      </c>
      <c r="K10" s="332" t="e">
        <f t="shared" si="0"/>
        <v>#REF!</v>
      </c>
      <c r="L10" s="332" t="e">
        <f t="shared" si="0"/>
        <v>#REF!</v>
      </c>
      <c r="M10" s="332" t="e">
        <f t="shared" si="0"/>
        <v>#REF!</v>
      </c>
      <c r="N10" s="332" t="e">
        <f t="shared" si="0"/>
        <v>#REF!</v>
      </c>
      <c r="O10" s="332" t="e">
        <f t="shared" si="0"/>
        <v>#REF!</v>
      </c>
      <c r="P10" s="332" t="e">
        <f t="shared" si="0"/>
        <v>#REF!</v>
      </c>
      <c r="Q10" s="332" t="e">
        <f t="shared" si="0"/>
        <v>#REF!</v>
      </c>
      <c r="R10" s="332" t="e">
        <f t="shared" si="0"/>
        <v>#REF!</v>
      </c>
    </row>
    <row r="11" spans="1:18">
      <c r="A11" s="84"/>
      <c r="B11" s="254"/>
      <c r="C11" s="254"/>
      <c r="D11" s="254"/>
      <c r="E11" s="254"/>
      <c r="F11" s="254"/>
      <c r="G11" s="254"/>
      <c r="H11" s="254"/>
      <c r="I11" s="328"/>
      <c r="J11" s="254"/>
      <c r="K11" s="254"/>
      <c r="L11" s="254"/>
      <c r="M11" s="254"/>
      <c r="N11" s="254"/>
      <c r="O11" s="254"/>
      <c r="P11" s="254"/>
      <c r="Q11" s="254"/>
      <c r="R11" s="254"/>
    </row>
    <row r="12" spans="1:18">
      <c r="A12" s="84" t="s">
        <v>282</v>
      </c>
      <c r="B12" s="340"/>
      <c r="C12" s="340">
        <v>0.15</v>
      </c>
      <c r="D12" s="340">
        <f t="shared" ref="D12:R12" si="1">C12</f>
        <v>0.15</v>
      </c>
      <c r="E12" s="340">
        <f t="shared" si="1"/>
        <v>0.15</v>
      </c>
      <c r="F12" s="340">
        <f t="shared" si="1"/>
        <v>0.15</v>
      </c>
      <c r="G12" s="340">
        <f t="shared" si="1"/>
        <v>0.15</v>
      </c>
      <c r="H12" s="340">
        <f t="shared" si="1"/>
        <v>0.15</v>
      </c>
      <c r="I12" s="341">
        <f t="shared" si="1"/>
        <v>0.15</v>
      </c>
      <c r="J12" s="340">
        <f t="shared" si="1"/>
        <v>0.15</v>
      </c>
      <c r="K12" s="340">
        <f t="shared" si="1"/>
        <v>0.15</v>
      </c>
      <c r="L12" s="340">
        <f t="shared" si="1"/>
        <v>0.15</v>
      </c>
      <c r="M12" s="340">
        <f t="shared" si="1"/>
        <v>0.15</v>
      </c>
      <c r="N12" s="340">
        <f t="shared" si="1"/>
        <v>0.15</v>
      </c>
      <c r="O12" s="340">
        <f t="shared" si="1"/>
        <v>0.15</v>
      </c>
      <c r="P12" s="340">
        <f t="shared" si="1"/>
        <v>0.15</v>
      </c>
      <c r="Q12" s="340">
        <f t="shared" si="1"/>
        <v>0.15</v>
      </c>
      <c r="R12" s="340">
        <f t="shared" si="1"/>
        <v>0.15</v>
      </c>
    </row>
    <row r="13" spans="1:18">
      <c r="A13" s="256" t="s">
        <v>260</v>
      </c>
      <c r="B13" s="326"/>
      <c r="C13" s="326" t="e">
        <f t="shared" ref="C13:R13" si="2">C7*C$12</f>
        <v>#REF!</v>
      </c>
      <c r="D13" s="326" t="e">
        <f t="shared" si="2"/>
        <v>#REF!</v>
      </c>
      <c r="E13" s="326" t="e">
        <f t="shared" si="2"/>
        <v>#REF!</v>
      </c>
      <c r="F13" s="326" t="e">
        <f t="shared" si="2"/>
        <v>#REF!</v>
      </c>
      <c r="G13" s="326" t="e">
        <f t="shared" si="2"/>
        <v>#REF!</v>
      </c>
      <c r="H13" s="326" t="e">
        <f t="shared" si="2"/>
        <v>#REF!</v>
      </c>
      <c r="I13" s="335" t="e">
        <f t="shared" si="2"/>
        <v>#REF!</v>
      </c>
      <c r="J13" s="326" t="e">
        <f t="shared" si="2"/>
        <v>#REF!</v>
      </c>
      <c r="K13" s="326" t="e">
        <f t="shared" si="2"/>
        <v>#REF!</v>
      </c>
      <c r="L13" s="326" t="e">
        <f t="shared" si="2"/>
        <v>#REF!</v>
      </c>
      <c r="M13" s="326" t="e">
        <f t="shared" si="2"/>
        <v>#REF!</v>
      </c>
      <c r="N13" s="326" t="e">
        <f t="shared" si="2"/>
        <v>#REF!</v>
      </c>
      <c r="O13" s="326" t="e">
        <f t="shared" si="2"/>
        <v>#REF!</v>
      </c>
      <c r="P13" s="326" t="e">
        <f t="shared" si="2"/>
        <v>#REF!</v>
      </c>
      <c r="Q13" s="326" t="e">
        <f t="shared" si="2"/>
        <v>#REF!</v>
      </c>
      <c r="R13" s="326" t="e">
        <f t="shared" si="2"/>
        <v>#REF!</v>
      </c>
    </row>
    <row r="14" spans="1:18">
      <c r="A14" s="256" t="s">
        <v>259</v>
      </c>
      <c r="B14" s="326"/>
      <c r="C14" s="326" t="e">
        <f t="shared" ref="C14:R14" si="3">C8*C$12</f>
        <v>#REF!</v>
      </c>
      <c r="D14" s="326" t="e">
        <f t="shared" si="3"/>
        <v>#REF!</v>
      </c>
      <c r="E14" s="326" t="e">
        <f t="shared" si="3"/>
        <v>#REF!</v>
      </c>
      <c r="F14" s="326" t="e">
        <f t="shared" si="3"/>
        <v>#REF!</v>
      </c>
      <c r="G14" s="326" t="e">
        <f t="shared" si="3"/>
        <v>#REF!</v>
      </c>
      <c r="H14" s="326" t="e">
        <f t="shared" si="3"/>
        <v>#REF!</v>
      </c>
      <c r="I14" s="335" t="e">
        <f t="shared" si="3"/>
        <v>#REF!</v>
      </c>
      <c r="J14" s="326" t="e">
        <f t="shared" si="3"/>
        <v>#REF!</v>
      </c>
      <c r="K14" s="326" t="e">
        <f t="shared" si="3"/>
        <v>#REF!</v>
      </c>
      <c r="L14" s="326" t="e">
        <f t="shared" si="3"/>
        <v>#REF!</v>
      </c>
      <c r="M14" s="326" t="e">
        <f t="shared" si="3"/>
        <v>#REF!</v>
      </c>
      <c r="N14" s="326" t="e">
        <f t="shared" si="3"/>
        <v>#REF!</v>
      </c>
      <c r="O14" s="326" t="e">
        <f t="shared" si="3"/>
        <v>#REF!</v>
      </c>
      <c r="P14" s="326" t="e">
        <f t="shared" si="3"/>
        <v>#REF!</v>
      </c>
      <c r="Q14" s="326" t="e">
        <f t="shared" si="3"/>
        <v>#REF!</v>
      </c>
      <c r="R14" s="326" t="e">
        <f t="shared" si="3"/>
        <v>#REF!</v>
      </c>
    </row>
    <row r="15" spans="1:18">
      <c r="A15" s="256" t="s">
        <v>258</v>
      </c>
      <c r="B15" s="326"/>
      <c r="C15" s="326" t="e">
        <f t="shared" ref="C15:R15" si="4">C9*C$12</f>
        <v>#REF!</v>
      </c>
      <c r="D15" s="326" t="e">
        <f t="shared" si="4"/>
        <v>#REF!</v>
      </c>
      <c r="E15" s="326" t="e">
        <f t="shared" si="4"/>
        <v>#REF!</v>
      </c>
      <c r="F15" s="326" t="e">
        <f t="shared" si="4"/>
        <v>#REF!</v>
      </c>
      <c r="G15" s="326" t="e">
        <f t="shared" si="4"/>
        <v>#REF!</v>
      </c>
      <c r="H15" s="326" t="e">
        <f t="shared" si="4"/>
        <v>#REF!</v>
      </c>
      <c r="I15" s="335" t="e">
        <f t="shared" si="4"/>
        <v>#REF!</v>
      </c>
      <c r="J15" s="326" t="e">
        <f t="shared" si="4"/>
        <v>#REF!</v>
      </c>
      <c r="K15" s="326" t="e">
        <f t="shared" si="4"/>
        <v>#REF!</v>
      </c>
      <c r="L15" s="326" t="e">
        <f t="shared" si="4"/>
        <v>#REF!</v>
      </c>
      <c r="M15" s="326" t="e">
        <f t="shared" si="4"/>
        <v>#REF!</v>
      </c>
      <c r="N15" s="326" t="e">
        <f t="shared" si="4"/>
        <v>#REF!</v>
      </c>
      <c r="O15" s="326" t="e">
        <f t="shared" si="4"/>
        <v>#REF!</v>
      </c>
      <c r="P15" s="326" t="e">
        <f t="shared" si="4"/>
        <v>#REF!</v>
      </c>
      <c r="Q15" s="326" t="e">
        <f t="shared" si="4"/>
        <v>#REF!</v>
      </c>
      <c r="R15" s="326" t="e">
        <f t="shared" si="4"/>
        <v>#REF!</v>
      </c>
    </row>
    <row r="16" spans="1:18">
      <c r="A16" s="84"/>
      <c r="B16" s="342"/>
      <c r="C16" s="254"/>
      <c r="D16" s="254"/>
      <c r="E16" s="254"/>
      <c r="F16" s="254"/>
      <c r="G16" s="254"/>
      <c r="H16" s="254"/>
      <c r="I16" s="328"/>
      <c r="J16" s="254"/>
      <c r="K16" s="254"/>
      <c r="L16" s="254"/>
      <c r="M16" s="254"/>
      <c r="N16" s="254"/>
      <c r="O16" s="254"/>
      <c r="P16" s="254"/>
      <c r="Q16" s="254"/>
      <c r="R16" s="254"/>
    </row>
    <row r="17" spans="1:18">
      <c r="A17" s="84" t="s">
        <v>281</v>
      </c>
      <c r="B17" s="340"/>
      <c r="C17" s="340">
        <v>0.85</v>
      </c>
      <c r="D17" s="340">
        <f t="shared" ref="D17:R17" si="5">C17</f>
        <v>0.85</v>
      </c>
      <c r="E17" s="340">
        <f t="shared" si="5"/>
        <v>0.85</v>
      </c>
      <c r="F17" s="340">
        <f t="shared" si="5"/>
        <v>0.85</v>
      </c>
      <c r="G17" s="340">
        <f t="shared" si="5"/>
        <v>0.85</v>
      </c>
      <c r="H17" s="340">
        <f t="shared" si="5"/>
        <v>0.85</v>
      </c>
      <c r="I17" s="341">
        <f t="shared" si="5"/>
        <v>0.85</v>
      </c>
      <c r="J17" s="340">
        <f t="shared" si="5"/>
        <v>0.85</v>
      </c>
      <c r="K17" s="340">
        <f t="shared" si="5"/>
        <v>0.85</v>
      </c>
      <c r="L17" s="340">
        <f t="shared" si="5"/>
        <v>0.85</v>
      </c>
      <c r="M17" s="340">
        <f t="shared" si="5"/>
        <v>0.85</v>
      </c>
      <c r="N17" s="340">
        <f t="shared" si="5"/>
        <v>0.85</v>
      </c>
      <c r="O17" s="340">
        <f t="shared" si="5"/>
        <v>0.85</v>
      </c>
      <c r="P17" s="340">
        <f t="shared" si="5"/>
        <v>0.85</v>
      </c>
      <c r="Q17" s="340">
        <f t="shared" si="5"/>
        <v>0.85</v>
      </c>
      <c r="R17" s="340">
        <f t="shared" si="5"/>
        <v>0.85</v>
      </c>
    </row>
    <row r="18" spans="1:18">
      <c r="A18" s="256" t="s">
        <v>260</v>
      </c>
      <c r="B18" s="326"/>
      <c r="C18" s="326" t="e">
        <f t="shared" ref="C18:R18" si="6">C7*C$17</f>
        <v>#REF!</v>
      </c>
      <c r="D18" s="326" t="e">
        <f t="shared" si="6"/>
        <v>#REF!</v>
      </c>
      <c r="E18" s="326" t="e">
        <f t="shared" si="6"/>
        <v>#REF!</v>
      </c>
      <c r="F18" s="326" t="e">
        <f t="shared" si="6"/>
        <v>#REF!</v>
      </c>
      <c r="G18" s="326" t="e">
        <f t="shared" si="6"/>
        <v>#REF!</v>
      </c>
      <c r="H18" s="326" t="e">
        <f t="shared" si="6"/>
        <v>#REF!</v>
      </c>
      <c r="I18" s="335" t="e">
        <f t="shared" si="6"/>
        <v>#REF!</v>
      </c>
      <c r="J18" s="326" t="e">
        <f t="shared" si="6"/>
        <v>#REF!</v>
      </c>
      <c r="K18" s="326" t="e">
        <f t="shared" si="6"/>
        <v>#REF!</v>
      </c>
      <c r="L18" s="326" t="e">
        <f t="shared" si="6"/>
        <v>#REF!</v>
      </c>
      <c r="M18" s="326" t="e">
        <f t="shared" si="6"/>
        <v>#REF!</v>
      </c>
      <c r="N18" s="326" t="e">
        <f t="shared" si="6"/>
        <v>#REF!</v>
      </c>
      <c r="O18" s="326" t="e">
        <f t="shared" si="6"/>
        <v>#REF!</v>
      </c>
      <c r="P18" s="326" t="e">
        <f t="shared" si="6"/>
        <v>#REF!</v>
      </c>
      <c r="Q18" s="326" t="e">
        <f t="shared" si="6"/>
        <v>#REF!</v>
      </c>
      <c r="R18" s="326" t="e">
        <f t="shared" si="6"/>
        <v>#REF!</v>
      </c>
    </row>
    <row r="19" spans="1:18">
      <c r="A19" s="256" t="s">
        <v>259</v>
      </c>
      <c r="B19" s="326"/>
      <c r="C19" s="326" t="e">
        <f t="shared" ref="C19:R19" si="7">C8*C$17</f>
        <v>#REF!</v>
      </c>
      <c r="D19" s="326" t="e">
        <f t="shared" si="7"/>
        <v>#REF!</v>
      </c>
      <c r="E19" s="326" t="e">
        <f t="shared" si="7"/>
        <v>#REF!</v>
      </c>
      <c r="F19" s="326" t="e">
        <f t="shared" si="7"/>
        <v>#REF!</v>
      </c>
      <c r="G19" s="326" t="e">
        <f t="shared" si="7"/>
        <v>#REF!</v>
      </c>
      <c r="H19" s="326" t="e">
        <f t="shared" si="7"/>
        <v>#REF!</v>
      </c>
      <c r="I19" s="335" t="e">
        <f t="shared" si="7"/>
        <v>#REF!</v>
      </c>
      <c r="J19" s="326" t="e">
        <f t="shared" si="7"/>
        <v>#REF!</v>
      </c>
      <c r="K19" s="326" t="e">
        <f t="shared" si="7"/>
        <v>#REF!</v>
      </c>
      <c r="L19" s="326" t="e">
        <f t="shared" si="7"/>
        <v>#REF!</v>
      </c>
      <c r="M19" s="326" t="e">
        <f t="shared" si="7"/>
        <v>#REF!</v>
      </c>
      <c r="N19" s="326" t="e">
        <f t="shared" si="7"/>
        <v>#REF!</v>
      </c>
      <c r="O19" s="326" t="e">
        <f t="shared" si="7"/>
        <v>#REF!</v>
      </c>
      <c r="P19" s="326" t="e">
        <f t="shared" si="7"/>
        <v>#REF!</v>
      </c>
      <c r="Q19" s="326" t="e">
        <f t="shared" si="7"/>
        <v>#REF!</v>
      </c>
      <c r="R19" s="326" t="e">
        <f t="shared" si="7"/>
        <v>#REF!</v>
      </c>
    </row>
    <row r="20" spans="1:18">
      <c r="A20" s="256" t="s">
        <v>258</v>
      </c>
      <c r="B20" s="326"/>
      <c r="C20" s="326" t="e">
        <f t="shared" ref="C20:R20" si="8">C9*C$17</f>
        <v>#REF!</v>
      </c>
      <c r="D20" s="326" t="e">
        <f t="shared" si="8"/>
        <v>#REF!</v>
      </c>
      <c r="E20" s="326" t="e">
        <f t="shared" si="8"/>
        <v>#REF!</v>
      </c>
      <c r="F20" s="326" t="e">
        <f t="shared" si="8"/>
        <v>#REF!</v>
      </c>
      <c r="G20" s="326" t="e">
        <f t="shared" si="8"/>
        <v>#REF!</v>
      </c>
      <c r="H20" s="326" t="e">
        <f t="shared" si="8"/>
        <v>#REF!</v>
      </c>
      <c r="I20" s="335" t="e">
        <f t="shared" si="8"/>
        <v>#REF!</v>
      </c>
      <c r="J20" s="326" t="e">
        <f t="shared" si="8"/>
        <v>#REF!</v>
      </c>
      <c r="K20" s="326" t="e">
        <f t="shared" si="8"/>
        <v>#REF!</v>
      </c>
      <c r="L20" s="326" t="e">
        <f t="shared" si="8"/>
        <v>#REF!</v>
      </c>
      <c r="M20" s="326" t="e">
        <f t="shared" si="8"/>
        <v>#REF!</v>
      </c>
      <c r="N20" s="326" t="e">
        <f t="shared" si="8"/>
        <v>#REF!</v>
      </c>
      <c r="O20" s="326" t="e">
        <f t="shared" si="8"/>
        <v>#REF!</v>
      </c>
      <c r="P20" s="326" t="e">
        <f t="shared" si="8"/>
        <v>#REF!</v>
      </c>
      <c r="Q20" s="326" t="e">
        <f t="shared" si="8"/>
        <v>#REF!</v>
      </c>
      <c r="R20" s="326" t="e">
        <f t="shared" si="8"/>
        <v>#REF!</v>
      </c>
    </row>
    <row r="21" spans="1:18">
      <c r="A21" s="84"/>
      <c r="B21" s="254"/>
      <c r="C21" s="254"/>
      <c r="D21" s="254"/>
      <c r="E21" s="254"/>
      <c r="F21" s="254"/>
      <c r="G21" s="254"/>
      <c r="H21" s="254"/>
      <c r="I21" s="328"/>
      <c r="J21" s="254"/>
      <c r="K21" s="254"/>
      <c r="L21" s="254"/>
      <c r="M21" s="254"/>
      <c r="N21" s="254"/>
      <c r="O21" s="254"/>
      <c r="P21" s="254"/>
      <c r="Q21" s="254"/>
      <c r="R21" s="254"/>
    </row>
    <row r="22" spans="1:18">
      <c r="A22" s="84"/>
      <c r="B22" s="329"/>
      <c r="C22" s="329" t="e">
        <f t="shared" ref="C22:R22" si="9">(C13+C18)=C7</f>
        <v>#REF!</v>
      </c>
      <c r="D22" s="329" t="e">
        <f t="shared" si="9"/>
        <v>#REF!</v>
      </c>
      <c r="E22" s="329" t="e">
        <f t="shared" si="9"/>
        <v>#REF!</v>
      </c>
      <c r="F22" s="329" t="e">
        <f t="shared" si="9"/>
        <v>#REF!</v>
      </c>
      <c r="G22" s="329" t="e">
        <f t="shared" si="9"/>
        <v>#REF!</v>
      </c>
      <c r="H22" s="329" t="e">
        <f t="shared" si="9"/>
        <v>#REF!</v>
      </c>
      <c r="I22" s="338" t="e">
        <f t="shared" si="9"/>
        <v>#REF!</v>
      </c>
      <c r="J22" s="329" t="e">
        <f t="shared" si="9"/>
        <v>#REF!</v>
      </c>
      <c r="K22" s="329" t="e">
        <f t="shared" si="9"/>
        <v>#REF!</v>
      </c>
      <c r="L22" s="329" t="e">
        <f t="shared" si="9"/>
        <v>#REF!</v>
      </c>
      <c r="M22" s="329" t="e">
        <f t="shared" si="9"/>
        <v>#REF!</v>
      </c>
      <c r="N22" s="329" t="e">
        <f t="shared" si="9"/>
        <v>#REF!</v>
      </c>
      <c r="O22" s="329" t="e">
        <f t="shared" si="9"/>
        <v>#REF!</v>
      </c>
      <c r="P22" s="329" t="e">
        <f t="shared" si="9"/>
        <v>#REF!</v>
      </c>
      <c r="Q22" s="329" t="e">
        <f t="shared" si="9"/>
        <v>#REF!</v>
      </c>
      <c r="R22" s="329" t="e">
        <f t="shared" si="9"/>
        <v>#REF!</v>
      </c>
    </row>
    <row r="23" spans="1:18">
      <c r="A23" s="84"/>
      <c r="B23" s="329"/>
      <c r="C23" s="329" t="e">
        <f t="shared" ref="C23:R23" si="10">(C14+C19)=C8</f>
        <v>#REF!</v>
      </c>
      <c r="D23" s="329" t="e">
        <f t="shared" si="10"/>
        <v>#REF!</v>
      </c>
      <c r="E23" s="329" t="e">
        <f t="shared" si="10"/>
        <v>#REF!</v>
      </c>
      <c r="F23" s="329" t="e">
        <f>(F14+F19)=F8</f>
        <v>#REF!</v>
      </c>
      <c r="G23" s="329" t="e">
        <f t="shared" si="10"/>
        <v>#REF!</v>
      </c>
      <c r="H23" s="329" t="e">
        <f t="shared" si="10"/>
        <v>#REF!</v>
      </c>
      <c r="I23" s="338" t="e">
        <f t="shared" si="10"/>
        <v>#REF!</v>
      </c>
      <c r="J23" s="329" t="e">
        <f t="shared" si="10"/>
        <v>#REF!</v>
      </c>
      <c r="K23" s="329" t="e">
        <f t="shared" si="10"/>
        <v>#REF!</v>
      </c>
      <c r="L23" s="329" t="e">
        <f t="shared" si="10"/>
        <v>#REF!</v>
      </c>
      <c r="M23" s="329" t="e">
        <f t="shared" si="10"/>
        <v>#REF!</v>
      </c>
      <c r="N23" s="329" t="e">
        <f t="shared" si="10"/>
        <v>#REF!</v>
      </c>
      <c r="O23" s="329" t="e">
        <f t="shared" si="10"/>
        <v>#REF!</v>
      </c>
      <c r="P23" s="329" t="e">
        <f t="shared" si="10"/>
        <v>#REF!</v>
      </c>
      <c r="Q23" s="329" t="e">
        <f t="shared" si="10"/>
        <v>#REF!</v>
      </c>
      <c r="R23" s="329" t="e">
        <f t="shared" si="10"/>
        <v>#REF!</v>
      </c>
    </row>
    <row r="24" spans="1:18">
      <c r="A24" s="84"/>
      <c r="B24" s="329"/>
      <c r="C24" s="329" t="e">
        <f t="shared" ref="C24:R24" si="11">(C15+C20)=C9</f>
        <v>#REF!</v>
      </c>
      <c r="D24" s="329" t="e">
        <f t="shared" si="11"/>
        <v>#REF!</v>
      </c>
      <c r="E24" s="329" t="e">
        <f t="shared" si="11"/>
        <v>#REF!</v>
      </c>
      <c r="F24" s="329" t="e">
        <f t="shared" si="11"/>
        <v>#REF!</v>
      </c>
      <c r="G24" s="329" t="e">
        <f t="shared" si="11"/>
        <v>#REF!</v>
      </c>
      <c r="H24" s="329" t="e">
        <f t="shared" si="11"/>
        <v>#REF!</v>
      </c>
      <c r="I24" s="338" t="e">
        <f t="shared" si="11"/>
        <v>#REF!</v>
      </c>
      <c r="J24" s="329" t="e">
        <f t="shared" si="11"/>
        <v>#REF!</v>
      </c>
      <c r="K24" s="329" t="e">
        <f t="shared" si="11"/>
        <v>#REF!</v>
      </c>
      <c r="L24" s="329" t="e">
        <f t="shared" si="11"/>
        <v>#REF!</v>
      </c>
      <c r="M24" s="329" t="e">
        <f t="shared" si="11"/>
        <v>#REF!</v>
      </c>
      <c r="N24" s="329" t="e">
        <f t="shared" si="11"/>
        <v>#REF!</v>
      </c>
      <c r="O24" s="329" t="e">
        <f t="shared" si="11"/>
        <v>#REF!</v>
      </c>
      <c r="P24" s="329" t="e">
        <f t="shared" si="11"/>
        <v>#REF!</v>
      </c>
      <c r="Q24" s="329" t="e">
        <f t="shared" si="11"/>
        <v>#REF!</v>
      </c>
      <c r="R24" s="329" t="e">
        <f t="shared" si="11"/>
        <v>#REF!</v>
      </c>
    </row>
    <row r="25" spans="1:18">
      <c r="A25" s="84"/>
      <c r="B25" s="329"/>
      <c r="C25" s="254"/>
      <c r="D25" s="254"/>
      <c r="E25" s="254"/>
      <c r="F25" s="254"/>
      <c r="G25" s="254"/>
      <c r="H25" s="254"/>
      <c r="I25" s="328"/>
      <c r="J25" s="254"/>
      <c r="K25" s="254"/>
      <c r="L25" s="254"/>
      <c r="M25" s="254"/>
      <c r="N25" s="254"/>
      <c r="O25" s="254"/>
      <c r="P25" s="254"/>
      <c r="Q25" s="254"/>
      <c r="R25" s="254"/>
    </row>
    <row r="26" spans="1:18">
      <c r="A26" s="337" t="s">
        <v>280</v>
      </c>
      <c r="B26" s="336"/>
      <c r="C26" s="336"/>
      <c r="D26" s="336"/>
      <c r="E26" s="336"/>
      <c r="F26" s="336"/>
      <c r="G26" s="336"/>
      <c r="H26" s="336"/>
      <c r="I26" s="313"/>
      <c r="J26" s="336"/>
      <c r="K26" s="336"/>
      <c r="L26" s="336"/>
      <c r="M26" s="336"/>
      <c r="N26" s="336"/>
      <c r="O26" s="336"/>
      <c r="P26" s="336"/>
      <c r="Q26" s="336"/>
      <c r="R26" s="336"/>
    </row>
    <row r="27" spans="1:18">
      <c r="A27" s="84"/>
      <c r="B27" s="264"/>
      <c r="C27" s="255"/>
      <c r="D27" s="255"/>
      <c r="E27" s="255"/>
      <c r="F27" s="255"/>
      <c r="G27" s="255"/>
      <c r="H27" s="255"/>
      <c r="I27" s="328"/>
      <c r="J27" s="255"/>
      <c r="K27" s="255"/>
      <c r="L27" s="255"/>
      <c r="M27" s="255"/>
      <c r="N27" s="255"/>
      <c r="O27" s="255"/>
      <c r="P27" s="255"/>
      <c r="Q27" s="255"/>
      <c r="R27" s="255"/>
    </row>
    <row r="28" spans="1:18">
      <c r="A28" s="84" t="s">
        <v>94</v>
      </c>
      <c r="B28" s="264"/>
      <c r="C28" s="255"/>
      <c r="D28" s="255"/>
      <c r="E28" s="255"/>
      <c r="F28" s="255"/>
      <c r="G28" s="255"/>
      <c r="H28" s="255"/>
      <c r="I28" s="328"/>
      <c r="J28" s="255"/>
      <c r="K28" s="255"/>
      <c r="L28" s="255"/>
      <c r="M28" s="255"/>
      <c r="N28" s="255"/>
      <c r="O28" s="255"/>
      <c r="P28" s="255"/>
      <c r="Q28" s="255"/>
      <c r="R28" s="255"/>
    </row>
    <row r="29" spans="1:18">
      <c r="A29" s="256" t="s">
        <v>260</v>
      </c>
      <c r="B29" s="263"/>
      <c r="C29" s="263" t="e">
        <f>#REF!</f>
        <v>#REF!</v>
      </c>
      <c r="D29" s="263" t="e">
        <f>#REF!</f>
        <v>#REF!</v>
      </c>
      <c r="E29" s="263" t="e">
        <f>#REF!</f>
        <v>#REF!</v>
      </c>
      <c r="F29" s="263" t="e">
        <f>#REF!</f>
        <v>#REF!</v>
      </c>
      <c r="G29" s="263" t="e">
        <f>#REF!</f>
        <v>#REF!</v>
      </c>
      <c r="H29" s="263" t="e">
        <f>#REF!</f>
        <v>#REF!</v>
      </c>
      <c r="I29" s="335" t="e">
        <f>#REF!</f>
        <v>#REF!</v>
      </c>
      <c r="J29" s="263" t="e">
        <f>#REF!</f>
        <v>#REF!</v>
      </c>
      <c r="K29" s="263" t="e">
        <f>#REF!</f>
        <v>#REF!</v>
      </c>
      <c r="L29" s="263" t="e">
        <f>#REF!</f>
        <v>#REF!</v>
      </c>
      <c r="M29" s="263" t="e">
        <f>#REF!</f>
        <v>#REF!</v>
      </c>
      <c r="N29" s="263" t="e">
        <f>#REF!</f>
        <v>#REF!</v>
      </c>
      <c r="O29" s="263" t="e">
        <f>#REF!</f>
        <v>#REF!</v>
      </c>
      <c r="P29" s="263" t="e">
        <f>#REF!</f>
        <v>#REF!</v>
      </c>
      <c r="Q29" s="263" t="e">
        <f>#REF!</f>
        <v>#REF!</v>
      </c>
      <c r="R29" s="263" t="e">
        <f>#REF!</f>
        <v>#REF!</v>
      </c>
    </row>
    <row r="30" spans="1:18">
      <c r="A30" s="256" t="s">
        <v>259</v>
      </c>
      <c r="B30" s="263"/>
      <c r="C30" s="263" t="e">
        <f>#REF!</f>
        <v>#REF!</v>
      </c>
      <c r="D30" s="263" t="e">
        <f>#REF!</f>
        <v>#REF!</v>
      </c>
      <c r="E30" s="263" t="e">
        <f>#REF!</f>
        <v>#REF!</v>
      </c>
      <c r="F30" s="263" t="e">
        <f>#REF!</f>
        <v>#REF!</v>
      </c>
      <c r="G30" s="263" t="e">
        <f>#REF!</f>
        <v>#REF!</v>
      </c>
      <c r="H30" s="263" t="e">
        <f>#REF!</f>
        <v>#REF!</v>
      </c>
      <c r="I30" s="335" t="e">
        <f>#REF!</f>
        <v>#REF!</v>
      </c>
      <c r="J30" s="263" t="e">
        <f>#REF!</f>
        <v>#REF!</v>
      </c>
      <c r="K30" s="263" t="e">
        <f>#REF!</f>
        <v>#REF!</v>
      </c>
      <c r="L30" s="263" t="e">
        <f>#REF!</f>
        <v>#REF!</v>
      </c>
      <c r="M30" s="263" t="e">
        <f>#REF!</f>
        <v>#REF!</v>
      </c>
      <c r="N30" s="263" t="e">
        <f>#REF!</f>
        <v>#REF!</v>
      </c>
      <c r="O30" s="263" t="e">
        <f>#REF!</f>
        <v>#REF!</v>
      </c>
      <c r="P30" s="263" t="e">
        <f>#REF!</f>
        <v>#REF!</v>
      </c>
      <c r="Q30" s="263" t="e">
        <f>#REF!</f>
        <v>#REF!</v>
      </c>
      <c r="R30" s="263" t="e">
        <f>#REF!</f>
        <v>#REF!</v>
      </c>
    </row>
    <row r="31" spans="1:18">
      <c r="A31" s="256" t="s">
        <v>258</v>
      </c>
      <c r="B31" s="263"/>
      <c r="C31" s="263" t="e">
        <f>#REF!</f>
        <v>#REF!</v>
      </c>
      <c r="D31" s="263" t="e">
        <f>#REF!</f>
        <v>#REF!</v>
      </c>
      <c r="E31" s="263" t="e">
        <f>#REF!</f>
        <v>#REF!</v>
      </c>
      <c r="F31" s="263" t="e">
        <f>#REF!</f>
        <v>#REF!</v>
      </c>
      <c r="G31" s="263" t="e">
        <f>#REF!</f>
        <v>#REF!</v>
      </c>
      <c r="H31" s="263" t="e">
        <f>#REF!</f>
        <v>#REF!</v>
      </c>
      <c r="I31" s="335" t="e">
        <f>#REF!</f>
        <v>#REF!</v>
      </c>
      <c r="J31" s="263" t="e">
        <f>#REF!</f>
        <v>#REF!</v>
      </c>
      <c r="K31" s="263" t="e">
        <f>#REF!</f>
        <v>#REF!</v>
      </c>
      <c r="L31" s="263" t="e">
        <f>#REF!</f>
        <v>#REF!</v>
      </c>
      <c r="M31" s="263" t="e">
        <f>#REF!</f>
        <v>#REF!</v>
      </c>
      <c r="N31" s="263" t="e">
        <f>#REF!</f>
        <v>#REF!</v>
      </c>
      <c r="O31" s="263" t="e">
        <f>#REF!</f>
        <v>#REF!</v>
      </c>
      <c r="P31" s="263" t="e">
        <f>#REF!</f>
        <v>#REF!</v>
      </c>
      <c r="Q31" s="263" t="e">
        <f>#REF!</f>
        <v>#REF!</v>
      </c>
      <c r="R31" s="263" t="e">
        <f>#REF!</f>
        <v>#REF!</v>
      </c>
    </row>
    <row r="32" spans="1:18">
      <c r="A32" s="334" t="s">
        <v>219</v>
      </c>
      <c r="B32" s="339"/>
      <c r="C32" s="339" t="e">
        <f t="shared" ref="C32:R32" si="12">SUM(C29:C31)</f>
        <v>#REF!</v>
      </c>
      <c r="D32" s="339" t="e">
        <f t="shared" si="12"/>
        <v>#REF!</v>
      </c>
      <c r="E32" s="339" t="e">
        <f t="shared" si="12"/>
        <v>#REF!</v>
      </c>
      <c r="F32" s="339" t="e">
        <f t="shared" si="12"/>
        <v>#REF!</v>
      </c>
      <c r="G32" s="339" t="e">
        <f t="shared" si="12"/>
        <v>#REF!</v>
      </c>
      <c r="H32" s="339" t="e">
        <f t="shared" si="12"/>
        <v>#REF!</v>
      </c>
      <c r="I32" s="333" t="e">
        <f t="shared" si="12"/>
        <v>#REF!</v>
      </c>
      <c r="J32" s="339" t="e">
        <f t="shared" si="12"/>
        <v>#REF!</v>
      </c>
      <c r="K32" s="339" t="e">
        <f t="shared" si="12"/>
        <v>#REF!</v>
      </c>
      <c r="L32" s="339" t="e">
        <f t="shared" si="12"/>
        <v>#REF!</v>
      </c>
      <c r="M32" s="339" t="e">
        <f t="shared" si="12"/>
        <v>#REF!</v>
      </c>
      <c r="N32" s="339" t="e">
        <f t="shared" si="12"/>
        <v>#REF!</v>
      </c>
      <c r="O32" s="339" t="e">
        <f t="shared" si="12"/>
        <v>#REF!</v>
      </c>
      <c r="P32" s="339" t="e">
        <f t="shared" si="12"/>
        <v>#REF!</v>
      </c>
      <c r="Q32" s="339" t="e">
        <f t="shared" si="12"/>
        <v>#REF!</v>
      </c>
      <c r="R32" s="339" t="e">
        <f t="shared" si="12"/>
        <v>#REF!</v>
      </c>
    </row>
    <row r="33" spans="1:18">
      <c r="A33" s="84"/>
      <c r="B33" s="329"/>
      <c r="C33" s="329"/>
      <c r="D33" s="329"/>
      <c r="E33" s="329"/>
      <c r="F33" s="329"/>
      <c r="G33" s="329"/>
      <c r="H33" s="329"/>
      <c r="I33" s="338"/>
      <c r="J33" s="329"/>
      <c r="K33" s="329"/>
      <c r="L33" s="329"/>
      <c r="M33" s="329"/>
      <c r="N33" s="329"/>
      <c r="O33" s="329"/>
      <c r="P33" s="329"/>
      <c r="Q33" s="329"/>
      <c r="R33" s="329"/>
    </row>
    <row r="34" spans="1:18">
      <c r="A34" s="84" t="s">
        <v>279</v>
      </c>
      <c r="B34" s="264"/>
      <c r="C34" s="264"/>
      <c r="D34" s="264"/>
      <c r="E34" s="264"/>
      <c r="F34" s="264"/>
      <c r="G34" s="264"/>
      <c r="H34" s="264"/>
      <c r="I34" s="338"/>
      <c r="J34" s="264"/>
      <c r="K34" s="264"/>
      <c r="L34" s="264"/>
      <c r="M34" s="264"/>
      <c r="N34" s="264"/>
      <c r="O34" s="264"/>
      <c r="P34" s="264"/>
      <c r="Q34" s="264"/>
      <c r="R34" s="264"/>
    </row>
    <row r="35" spans="1:18">
      <c r="A35" s="256" t="s">
        <v>260</v>
      </c>
      <c r="B35" s="263"/>
      <c r="C35" s="263">
        <v>0</v>
      </c>
      <c r="D35" s="263">
        <v>0</v>
      </c>
      <c r="E35" s="263">
        <v>0</v>
      </c>
      <c r="F35" s="263">
        <v>0</v>
      </c>
      <c r="G35" s="263">
        <v>0</v>
      </c>
      <c r="H35" s="263">
        <v>0</v>
      </c>
      <c r="I35" s="335">
        <v>0</v>
      </c>
      <c r="J35" s="263">
        <v>0</v>
      </c>
      <c r="K35" s="263">
        <v>0</v>
      </c>
      <c r="L35" s="263">
        <v>0</v>
      </c>
      <c r="M35" s="263">
        <v>0</v>
      </c>
      <c r="N35" s="263">
        <v>0</v>
      </c>
      <c r="O35" s="263">
        <v>0</v>
      </c>
      <c r="P35" s="263">
        <v>0</v>
      </c>
      <c r="Q35" s="263">
        <v>0</v>
      </c>
      <c r="R35" s="263">
        <v>0</v>
      </c>
    </row>
    <row r="36" spans="1:18">
      <c r="A36" s="256" t="s">
        <v>259</v>
      </c>
      <c r="B36" s="263"/>
      <c r="C36" s="263">
        <v>0</v>
      </c>
      <c r="D36" s="263">
        <v>0</v>
      </c>
      <c r="E36" s="263">
        <v>0</v>
      </c>
      <c r="F36" s="263">
        <v>0</v>
      </c>
      <c r="G36" s="263">
        <v>0</v>
      </c>
      <c r="H36" s="263">
        <v>0</v>
      </c>
      <c r="I36" s="335">
        <v>0</v>
      </c>
      <c r="J36" s="263">
        <v>0</v>
      </c>
      <c r="K36" s="263">
        <v>0</v>
      </c>
      <c r="L36" s="263">
        <v>0</v>
      </c>
      <c r="M36" s="263">
        <v>0</v>
      </c>
      <c r="N36" s="263">
        <v>0</v>
      </c>
      <c r="O36" s="263">
        <v>0</v>
      </c>
      <c r="P36" s="263">
        <v>0</v>
      </c>
      <c r="Q36" s="263">
        <v>0</v>
      </c>
      <c r="R36" s="263">
        <v>0</v>
      </c>
    </row>
    <row r="37" spans="1:18">
      <c r="A37" s="256" t="s">
        <v>258</v>
      </c>
      <c r="B37" s="263"/>
      <c r="C37" s="263" t="e">
        <f>#REF!</f>
        <v>#REF!</v>
      </c>
      <c r="D37" s="263" t="e">
        <f>#REF!</f>
        <v>#REF!</v>
      </c>
      <c r="E37" s="263" t="e">
        <f>#REF!</f>
        <v>#REF!</v>
      </c>
      <c r="F37" s="263" t="e">
        <f>#REF!</f>
        <v>#REF!</v>
      </c>
      <c r="G37" s="263" t="e">
        <f>#REF!</f>
        <v>#REF!</v>
      </c>
      <c r="H37" s="263" t="e">
        <f>#REF!</f>
        <v>#REF!</v>
      </c>
      <c r="I37" s="335" t="e">
        <f>#REF!</f>
        <v>#REF!</v>
      </c>
      <c r="J37" s="263" t="e">
        <f>#REF!</f>
        <v>#REF!</v>
      </c>
      <c r="K37" s="263" t="e">
        <f>#REF!</f>
        <v>#REF!</v>
      </c>
      <c r="L37" s="263" t="e">
        <f>#REF!</f>
        <v>#REF!</v>
      </c>
      <c r="M37" s="263" t="e">
        <f>#REF!</f>
        <v>#REF!</v>
      </c>
      <c r="N37" s="263" t="e">
        <f>#REF!</f>
        <v>#REF!</v>
      </c>
      <c r="O37" s="263" t="e">
        <f>#REF!</f>
        <v>#REF!</v>
      </c>
      <c r="P37" s="263" t="e">
        <f>#REF!</f>
        <v>#REF!</v>
      </c>
      <c r="Q37" s="263" t="e">
        <f>#REF!</f>
        <v>#REF!</v>
      </c>
      <c r="R37" s="263" t="e">
        <f>#REF!</f>
        <v>#REF!</v>
      </c>
    </row>
    <row r="38" spans="1:18">
      <c r="A38" s="334" t="s">
        <v>219</v>
      </c>
      <c r="B38" s="339"/>
      <c r="C38" s="339" t="e">
        <f t="shared" ref="C38:R38" si="13">SUM(C35:C37)</f>
        <v>#REF!</v>
      </c>
      <c r="D38" s="339" t="e">
        <f t="shared" si="13"/>
        <v>#REF!</v>
      </c>
      <c r="E38" s="339" t="e">
        <f t="shared" si="13"/>
        <v>#REF!</v>
      </c>
      <c r="F38" s="339" t="e">
        <f t="shared" si="13"/>
        <v>#REF!</v>
      </c>
      <c r="G38" s="339" t="e">
        <f t="shared" si="13"/>
        <v>#REF!</v>
      </c>
      <c r="H38" s="339" t="e">
        <f t="shared" si="13"/>
        <v>#REF!</v>
      </c>
      <c r="I38" s="333" t="e">
        <f t="shared" si="13"/>
        <v>#REF!</v>
      </c>
      <c r="J38" s="339" t="e">
        <f t="shared" si="13"/>
        <v>#REF!</v>
      </c>
      <c r="K38" s="339" t="e">
        <f t="shared" si="13"/>
        <v>#REF!</v>
      </c>
      <c r="L38" s="339" t="e">
        <f t="shared" si="13"/>
        <v>#REF!</v>
      </c>
      <c r="M38" s="339" t="e">
        <f t="shared" si="13"/>
        <v>#REF!</v>
      </c>
      <c r="N38" s="339" t="e">
        <f t="shared" si="13"/>
        <v>#REF!</v>
      </c>
      <c r="O38" s="339" t="e">
        <f t="shared" si="13"/>
        <v>#REF!</v>
      </c>
      <c r="P38" s="339" t="e">
        <f t="shared" si="13"/>
        <v>#REF!</v>
      </c>
      <c r="Q38" s="339" t="e">
        <f t="shared" si="13"/>
        <v>#REF!</v>
      </c>
      <c r="R38" s="339" t="e">
        <f t="shared" si="13"/>
        <v>#REF!</v>
      </c>
    </row>
    <row r="39" spans="1:18">
      <c r="A39" s="84"/>
      <c r="B39" s="329"/>
      <c r="C39" s="329"/>
      <c r="D39" s="329"/>
      <c r="E39" s="329"/>
      <c r="F39" s="329"/>
      <c r="G39" s="329"/>
      <c r="H39" s="329"/>
      <c r="I39" s="338"/>
      <c r="J39" s="329"/>
      <c r="K39" s="329"/>
      <c r="L39" s="329"/>
      <c r="M39" s="329"/>
      <c r="N39" s="329"/>
      <c r="O39" s="329"/>
      <c r="P39" s="329"/>
      <c r="Q39" s="329"/>
      <c r="R39" s="329"/>
    </row>
    <row r="40" spans="1:18">
      <c r="A40" s="84" t="s">
        <v>265</v>
      </c>
      <c r="B40" s="264"/>
      <c r="C40" s="264"/>
      <c r="D40" s="264"/>
      <c r="E40" s="264"/>
      <c r="F40" s="264"/>
      <c r="G40" s="264"/>
      <c r="H40" s="264"/>
      <c r="I40" s="338"/>
      <c r="J40" s="264"/>
      <c r="K40" s="264"/>
      <c r="L40" s="264"/>
      <c r="M40" s="264"/>
      <c r="N40" s="264"/>
      <c r="O40" s="264"/>
      <c r="P40" s="264"/>
      <c r="Q40" s="264"/>
      <c r="R40" s="264"/>
    </row>
    <row r="41" spans="1:18">
      <c r="A41" s="256" t="s">
        <v>260</v>
      </c>
      <c r="B41" s="263"/>
      <c r="C41" s="263" t="e">
        <f>#REF!</f>
        <v>#REF!</v>
      </c>
      <c r="D41" s="263" t="e">
        <f>#REF!</f>
        <v>#REF!</v>
      </c>
      <c r="E41" s="263" t="e">
        <f>#REF!</f>
        <v>#REF!</v>
      </c>
      <c r="F41" s="263" t="e">
        <f>#REF!</f>
        <v>#REF!</v>
      </c>
      <c r="G41" s="263" t="e">
        <f>#REF!</f>
        <v>#REF!</v>
      </c>
      <c r="H41" s="263" t="e">
        <f>#REF!</f>
        <v>#REF!</v>
      </c>
      <c r="I41" s="335" t="e">
        <f>#REF!</f>
        <v>#REF!</v>
      </c>
      <c r="J41" s="263" t="e">
        <f>#REF!</f>
        <v>#REF!</v>
      </c>
      <c r="K41" s="263" t="e">
        <f>#REF!</f>
        <v>#REF!</v>
      </c>
      <c r="L41" s="263" t="e">
        <f>#REF!</f>
        <v>#REF!</v>
      </c>
      <c r="M41" s="263" t="e">
        <f>#REF!</f>
        <v>#REF!</v>
      </c>
      <c r="N41" s="263" t="e">
        <f>#REF!</f>
        <v>#REF!</v>
      </c>
      <c r="O41" s="263" t="e">
        <f>#REF!</f>
        <v>#REF!</v>
      </c>
      <c r="P41" s="263" t="e">
        <f>#REF!</f>
        <v>#REF!</v>
      </c>
      <c r="Q41" s="263" t="e">
        <f>#REF!</f>
        <v>#REF!</v>
      </c>
      <c r="R41" s="263" t="e">
        <f>#REF!</f>
        <v>#REF!</v>
      </c>
    </row>
    <row r="42" spans="1:18">
      <c r="A42" s="256" t="s">
        <v>259</v>
      </c>
      <c r="B42" s="263"/>
      <c r="C42" s="263" t="e">
        <f>#REF!</f>
        <v>#REF!</v>
      </c>
      <c r="D42" s="263" t="e">
        <f>#REF!</f>
        <v>#REF!</v>
      </c>
      <c r="E42" s="263" t="e">
        <f>#REF!</f>
        <v>#REF!</v>
      </c>
      <c r="F42" s="263" t="e">
        <f>#REF!</f>
        <v>#REF!</v>
      </c>
      <c r="G42" s="263" t="e">
        <f>#REF!</f>
        <v>#REF!</v>
      </c>
      <c r="H42" s="263" t="e">
        <f>#REF!</f>
        <v>#REF!</v>
      </c>
      <c r="I42" s="335" t="e">
        <f>#REF!</f>
        <v>#REF!</v>
      </c>
      <c r="J42" s="263" t="e">
        <f>#REF!</f>
        <v>#REF!</v>
      </c>
      <c r="K42" s="263" t="e">
        <f>#REF!</f>
        <v>#REF!</v>
      </c>
      <c r="L42" s="263" t="e">
        <f>#REF!</f>
        <v>#REF!</v>
      </c>
      <c r="M42" s="263" t="e">
        <f>#REF!</f>
        <v>#REF!</v>
      </c>
      <c r="N42" s="263" t="e">
        <f>#REF!</f>
        <v>#REF!</v>
      </c>
      <c r="O42" s="263" t="e">
        <f>#REF!</f>
        <v>#REF!</v>
      </c>
      <c r="P42" s="263" t="e">
        <f>#REF!</f>
        <v>#REF!</v>
      </c>
      <c r="Q42" s="263" t="e">
        <f>#REF!</f>
        <v>#REF!</v>
      </c>
      <c r="R42" s="263" t="e">
        <f>#REF!</f>
        <v>#REF!</v>
      </c>
    </row>
    <row r="43" spans="1:18">
      <c r="A43" s="256" t="s">
        <v>258</v>
      </c>
      <c r="B43" s="263"/>
      <c r="C43" s="263" t="e">
        <f>#REF!</f>
        <v>#REF!</v>
      </c>
      <c r="D43" s="263" t="e">
        <f>#REF!</f>
        <v>#REF!</v>
      </c>
      <c r="E43" s="263" t="e">
        <f>#REF!</f>
        <v>#REF!</v>
      </c>
      <c r="F43" s="263" t="e">
        <f>#REF!</f>
        <v>#REF!</v>
      </c>
      <c r="G43" s="263" t="e">
        <f>#REF!</f>
        <v>#REF!</v>
      </c>
      <c r="H43" s="263" t="e">
        <f>#REF!</f>
        <v>#REF!</v>
      </c>
      <c r="I43" s="335" t="e">
        <f>#REF!</f>
        <v>#REF!</v>
      </c>
      <c r="J43" s="263" t="e">
        <f>#REF!</f>
        <v>#REF!</v>
      </c>
      <c r="K43" s="263" t="e">
        <f>#REF!</f>
        <v>#REF!</v>
      </c>
      <c r="L43" s="263" t="e">
        <f>#REF!</f>
        <v>#REF!</v>
      </c>
      <c r="M43" s="263" t="e">
        <f>#REF!</f>
        <v>#REF!</v>
      </c>
      <c r="N43" s="263" t="e">
        <f>#REF!</f>
        <v>#REF!</v>
      </c>
      <c r="O43" s="263" t="e">
        <f>#REF!</f>
        <v>#REF!</v>
      </c>
      <c r="P43" s="263" t="e">
        <f>#REF!</f>
        <v>#REF!</v>
      </c>
      <c r="Q43" s="263" t="e">
        <f>#REF!</f>
        <v>#REF!</v>
      </c>
      <c r="R43" s="263" t="e">
        <f>#REF!</f>
        <v>#REF!</v>
      </c>
    </row>
    <row r="44" spans="1:18">
      <c r="A44" s="334" t="s">
        <v>219</v>
      </c>
      <c r="B44" s="332"/>
      <c r="C44" s="332" t="e">
        <f t="shared" ref="C44:R44" si="14">SUM(C41:C43)</f>
        <v>#REF!</v>
      </c>
      <c r="D44" s="332" t="e">
        <f t="shared" si="14"/>
        <v>#REF!</v>
      </c>
      <c r="E44" s="332" t="e">
        <f t="shared" si="14"/>
        <v>#REF!</v>
      </c>
      <c r="F44" s="332" t="e">
        <f t="shared" si="14"/>
        <v>#REF!</v>
      </c>
      <c r="G44" s="332" t="e">
        <f t="shared" si="14"/>
        <v>#REF!</v>
      </c>
      <c r="H44" s="332" t="e">
        <f t="shared" si="14"/>
        <v>#REF!</v>
      </c>
      <c r="I44" s="333" t="e">
        <f t="shared" si="14"/>
        <v>#REF!</v>
      </c>
      <c r="J44" s="332" t="e">
        <f t="shared" si="14"/>
        <v>#REF!</v>
      </c>
      <c r="K44" s="332" t="e">
        <f t="shared" si="14"/>
        <v>#REF!</v>
      </c>
      <c r="L44" s="332" t="e">
        <f t="shared" si="14"/>
        <v>#REF!</v>
      </c>
      <c r="M44" s="332" t="e">
        <f t="shared" si="14"/>
        <v>#REF!</v>
      </c>
      <c r="N44" s="332" t="e">
        <f t="shared" si="14"/>
        <v>#REF!</v>
      </c>
      <c r="O44" s="332" t="e">
        <f t="shared" si="14"/>
        <v>#REF!</v>
      </c>
      <c r="P44" s="332" t="e">
        <f t="shared" si="14"/>
        <v>#REF!</v>
      </c>
      <c r="Q44" s="332" t="e">
        <f t="shared" si="14"/>
        <v>#REF!</v>
      </c>
      <c r="R44" s="332" t="e">
        <f t="shared" si="14"/>
        <v>#REF!</v>
      </c>
    </row>
    <row r="45" spans="1:18">
      <c r="A45" s="84"/>
      <c r="B45" s="329"/>
      <c r="C45" s="329"/>
      <c r="D45" s="329"/>
      <c r="E45" s="329"/>
      <c r="F45" s="329"/>
      <c r="G45" s="329"/>
      <c r="H45" s="329"/>
      <c r="I45" s="338"/>
      <c r="J45" s="329"/>
      <c r="K45" s="329"/>
      <c r="L45" s="329"/>
      <c r="M45" s="329"/>
      <c r="N45" s="329"/>
      <c r="O45" s="329"/>
      <c r="P45" s="329"/>
      <c r="Q45" s="329"/>
      <c r="R45" s="329"/>
    </row>
    <row r="46" spans="1:18">
      <c r="A46" s="84" t="s">
        <v>264</v>
      </c>
      <c r="B46" s="264"/>
      <c r="C46" s="264"/>
      <c r="D46" s="264"/>
      <c r="E46" s="264"/>
      <c r="F46" s="264"/>
      <c r="G46" s="264"/>
      <c r="H46" s="264"/>
      <c r="I46" s="338"/>
      <c r="J46" s="264"/>
      <c r="K46" s="264"/>
      <c r="L46" s="264"/>
      <c r="M46" s="264"/>
      <c r="N46" s="264"/>
      <c r="O46" s="264"/>
      <c r="P46" s="264"/>
      <c r="Q46" s="264"/>
      <c r="R46" s="264"/>
    </row>
    <row r="47" spans="1:18">
      <c r="A47" s="256" t="s">
        <v>260</v>
      </c>
      <c r="B47" s="263"/>
      <c r="C47" s="263">
        <v>0</v>
      </c>
      <c r="D47" s="263">
        <v>0</v>
      </c>
      <c r="E47" s="263">
        <v>0</v>
      </c>
      <c r="F47" s="263">
        <v>0</v>
      </c>
      <c r="G47" s="263">
        <v>0</v>
      </c>
      <c r="H47" s="263">
        <v>0</v>
      </c>
      <c r="I47" s="335">
        <v>0</v>
      </c>
      <c r="J47" s="263">
        <v>0</v>
      </c>
      <c r="K47" s="263">
        <v>0</v>
      </c>
      <c r="L47" s="263">
        <v>0</v>
      </c>
      <c r="M47" s="263">
        <v>0</v>
      </c>
      <c r="N47" s="263">
        <v>0</v>
      </c>
      <c r="O47" s="263">
        <v>0</v>
      </c>
      <c r="P47" s="263">
        <v>0</v>
      </c>
      <c r="Q47" s="263">
        <v>0</v>
      </c>
      <c r="R47" s="263">
        <v>0</v>
      </c>
    </row>
    <row r="48" spans="1:18">
      <c r="A48" s="256" t="s">
        <v>259</v>
      </c>
      <c r="B48" s="263"/>
      <c r="C48" s="263">
        <v>0</v>
      </c>
      <c r="D48" s="263">
        <v>0</v>
      </c>
      <c r="E48" s="263">
        <v>0</v>
      </c>
      <c r="F48" s="263">
        <v>0</v>
      </c>
      <c r="G48" s="263">
        <v>0</v>
      </c>
      <c r="H48" s="263">
        <v>0</v>
      </c>
      <c r="I48" s="335">
        <v>0</v>
      </c>
      <c r="J48" s="263">
        <v>0</v>
      </c>
      <c r="K48" s="263">
        <v>0</v>
      </c>
      <c r="L48" s="263">
        <v>0</v>
      </c>
      <c r="M48" s="263">
        <v>0</v>
      </c>
      <c r="N48" s="263">
        <v>0</v>
      </c>
      <c r="O48" s="263">
        <v>0</v>
      </c>
      <c r="P48" s="263">
        <v>0</v>
      </c>
      <c r="Q48" s="263">
        <v>0</v>
      </c>
      <c r="R48" s="263">
        <v>0</v>
      </c>
    </row>
    <row r="49" spans="1:18">
      <c r="A49" s="256" t="s">
        <v>258</v>
      </c>
      <c r="B49" s="263"/>
      <c r="C49" s="263" t="e">
        <f>C235/1000</f>
        <v>#REF!</v>
      </c>
      <c r="D49" s="263" t="e">
        <f t="shared" ref="D49:R49" si="15">D235/1000</f>
        <v>#REF!</v>
      </c>
      <c r="E49" s="263" t="e">
        <f t="shared" si="15"/>
        <v>#REF!</v>
      </c>
      <c r="F49" s="263" t="e">
        <f t="shared" si="15"/>
        <v>#REF!</v>
      </c>
      <c r="G49" s="263" t="e">
        <f t="shared" si="15"/>
        <v>#REF!</v>
      </c>
      <c r="H49" s="263" t="e">
        <f t="shared" si="15"/>
        <v>#REF!</v>
      </c>
      <c r="I49" s="335" t="e">
        <f t="shared" si="15"/>
        <v>#REF!</v>
      </c>
      <c r="J49" s="263" t="e">
        <f t="shared" si="15"/>
        <v>#REF!</v>
      </c>
      <c r="K49" s="263" t="e">
        <f t="shared" si="15"/>
        <v>#REF!</v>
      </c>
      <c r="L49" s="263" t="e">
        <f t="shared" si="15"/>
        <v>#REF!</v>
      </c>
      <c r="M49" s="263" t="e">
        <f t="shared" si="15"/>
        <v>#REF!</v>
      </c>
      <c r="N49" s="263" t="e">
        <f t="shared" si="15"/>
        <v>#REF!</v>
      </c>
      <c r="O49" s="263" t="e">
        <f t="shared" si="15"/>
        <v>#REF!</v>
      </c>
      <c r="P49" s="263" t="e">
        <f t="shared" si="15"/>
        <v>#REF!</v>
      </c>
      <c r="Q49" s="263" t="e">
        <f t="shared" si="15"/>
        <v>#REF!</v>
      </c>
      <c r="R49" s="263" t="e">
        <f t="shared" si="15"/>
        <v>#REF!</v>
      </c>
    </row>
    <row r="50" spans="1:18">
      <c r="A50" s="334" t="s">
        <v>219</v>
      </c>
      <c r="B50" s="332"/>
      <c r="C50" s="332" t="e">
        <f t="shared" ref="C50:R50" si="16">SUM(C47:C49)</f>
        <v>#REF!</v>
      </c>
      <c r="D50" s="332" t="e">
        <f t="shared" si="16"/>
        <v>#REF!</v>
      </c>
      <c r="E50" s="332" t="e">
        <f t="shared" si="16"/>
        <v>#REF!</v>
      </c>
      <c r="F50" s="332" t="e">
        <f t="shared" si="16"/>
        <v>#REF!</v>
      </c>
      <c r="G50" s="332" t="e">
        <f t="shared" si="16"/>
        <v>#REF!</v>
      </c>
      <c r="H50" s="332" t="e">
        <f t="shared" si="16"/>
        <v>#REF!</v>
      </c>
      <c r="I50" s="333" t="e">
        <f t="shared" si="16"/>
        <v>#REF!</v>
      </c>
      <c r="J50" s="332" t="e">
        <f t="shared" si="16"/>
        <v>#REF!</v>
      </c>
      <c r="K50" s="332" t="e">
        <f t="shared" si="16"/>
        <v>#REF!</v>
      </c>
      <c r="L50" s="332" t="e">
        <f t="shared" si="16"/>
        <v>#REF!</v>
      </c>
      <c r="M50" s="332" t="e">
        <f t="shared" si="16"/>
        <v>#REF!</v>
      </c>
      <c r="N50" s="332" t="e">
        <f t="shared" si="16"/>
        <v>#REF!</v>
      </c>
      <c r="O50" s="332" t="e">
        <f t="shared" si="16"/>
        <v>#REF!</v>
      </c>
      <c r="P50" s="332" t="e">
        <f t="shared" si="16"/>
        <v>#REF!</v>
      </c>
      <c r="Q50" s="332" t="e">
        <f t="shared" si="16"/>
        <v>#REF!</v>
      </c>
      <c r="R50" s="332" t="e">
        <f t="shared" si="16"/>
        <v>#REF!</v>
      </c>
    </row>
    <row r="51" spans="1:18">
      <c r="A51" s="84"/>
      <c r="B51" s="329"/>
      <c r="C51" s="254"/>
      <c r="D51" s="254"/>
      <c r="E51" s="254"/>
      <c r="F51" s="254"/>
      <c r="G51" s="254"/>
      <c r="H51" s="254"/>
      <c r="I51" s="328"/>
      <c r="J51" s="254"/>
      <c r="K51" s="254"/>
      <c r="L51" s="254"/>
      <c r="M51" s="254"/>
      <c r="N51" s="254"/>
      <c r="O51" s="254"/>
      <c r="P51" s="254"/>
      <c r="Q51" s="254"/>
      <c r="R51" s="254"/>
    </row>
    <row r="52" spans="1:18">
      <c r="A52" s="84" t="s">
        <v>278</v>
      </c>
      <c r="B52" s="329"/>
      <c r="C52" s="254"/>
      <c r="D52" s="254"/>
      <c r="E52" s="254"/>
      <c r="F52" s="254"/>
      <c r="G52" s="254"/>
      <c r="H52" s="254"/>
      <c r="I52" s="328"/>
      <c r="J52" s="254"/>
      <c r="K52" s="254"/>
      <c r="L52" s="254"/>
      <c r="M52" s="254"/>
      <c r="N52" s="254"/>
      <c r="O52" s="254"/>
      <c r="P52" s="254"/>
      <c r="Q52" s="254"/>
      <c r="R52" s="254"/>
    </row>
    <row r="53" spans="1:18">
      <c r="A53" s="256" t="s">
        <v>260</v>
      </c>
      <c r="B53" s="326"/>
      <c r="C53" s="326" t="e">
        <f t="shared" ref="C53:R53" si="17">SUM(C29,C35,C41)*C$12</f>
        <v>#REF!</v>
      </c>
      <c r="D53" s="326" t="e">
        <f t="shared" si="17"/>
        <v>#REF!</v>
      </c>
      <c r="E53" s="326" t="e">
        <f t="shared" si="17"/>
        <v>#REF!</v>
      </c>
      <c r="F53" s="326" t="e">
        <f t="shared" si="17"/>
        <v>#REF!</v>
      </c>
      <c r="G53" s="326" t="e">
        <f t="shared" si="17"/>
        <v>#REF!</v>
      </c>
      <c r="H53" s="326" t="e">
        <f t="shared" si="17"/>
        <v>#REF!</v>
      </c>
      <c r="I53" s="335" t="e">
        <f t="shared" si="17"/>
        <v>#REF!</v>
      </c>
      <c r="J53" s="326" t="e">
        <f t="shared" si="17"/>
        <v>#REF!</v>
      </c>
      <c r="K53" s="326" t="e">
        <f t="shared" si="17"/>
        <v>#REF!</v>
      </c>
      <c r="L53" s="326" t="e">
        <f t="shared" si="17"/>
        <v>#REF!</v>
      </c>
      <c r="M53" s="326" t="e">
        <f t="shared" si="17"/>
        <v>#REF!</v>
      </c>
      <c r="N53" s="326" t="e">
        <f t="shared" si="17"/>
        <v>#REF!</v>
      </c>
      <c r="O53" s="326" t="e">
        <f t="shared" si="17"/>
        <v>#REF!</v>
      </c>
      <c r="P53" s="326" t="e">
        <f t="shared" si="17"/>
        <v>#REF!</v>
      </c>
      <c r="Q53" s="326" t="e">
        <f t="shared" si="17"/>
        <v>#REF!</v>
      </c>
      <c r="R53" s="326" t="e">
        <f t="shared" si="17"/>
        <v>#REF!</v>
      </c>
    </row>
    <row r="54" spans="1:18">
      <c r="A54" s="256" t="s">
        <v>259</v>
      </c>
      <c r="B54" s="326"/>
      <c r="C54" s="326" t="e">
        <f t="shared" ref="C54:R54" si="18">SUM(C30,C36,C42)*C$12</f>
        <v>#REF!</v>
      </c>
      <c r="D54" s="326" t="e">
        <f t="shared" si="18"/>
        <v>#REF!</v>
      </c>
      <c r="E54" s="326" t="e">
        <f t="shared" si="18"/>
        <v>#REF!</v>
      </c>
      <c r="F54" s="326" t="e">
        <f t="shared" si="18"/>
        <v>#REF!</v>
      </c>
      <c r="G54" s="326" t="e">
        <f t="shared" si="18"/>
        <v>#REF!</v>
      </c>
      <c r="H54" s="326" t="e">
        <f t="shared" si="18"/>
        <v>#REF!</v>
      </c>
      <c r="I54" s="335" t="e">
        <f t="shared" si="18"/>
        <v>#REF!</v>
      </c>
      <c r="J54" s="326" t="e">
        <f t="shared" si="18"/>
        <v>#REF!</v>
      </c>
      <c r="K54" s="326" t="e">
        <f t="shared" si="18"/>
        <v>#REF!</v>
      </c>
      <c r="L54" s="326" t="e">
        <f t="shared" si="18"/>
        <v>#REF!</v>
      </c>
      <c r="M54" s="326" t="e">
        <f t="shared" si="18"/>
        <v>#REF!</v>
      </c>
      <c r="N54" s="326" t="e">
        <f t="shared" si="18"/>
        <v>#REF!</v>
      </c>
      <c r="O54" s="326" t="e">
        <f t="shared" si="18"/>
        <v>#REF!</v>
      </c>
      <c r="P54" s="326" t="e">
        <f t="shared" si="18"/>
        <v>#REF!</v>
      </c>
      <c r="Q54" s="326" t="e">
        <f t="shared" si="18"/>
        <v>#REF!</v>
      </c>
      <c r="R54" s="326" t="e">
        <f t="shared" si="18"/>
        <v>#REF!</v>
      </c>
    </row>
    <row r="55" spans="1:18">
      <c r="A55" s="256" t="s">
        <v>258</v>
      </c>
      <c r="B55" s="326"/>
      <c r="C55" s="326" t="e">
        <f t="shared" ref="C55:R55" si="19">SUM(C31,C37,C43,C49)*C$12</f>
        <v>#REF!</v>
      </c>
      <c r="D55" s="326" t="e">
        <f t="shared" si="19"/>
        <v>#REF!</v>
      </c>
      <c r="E55" s="326" t="e">
        <f t="shared" si="19"/>
        <v>#REF!</v>
      </c>
      <c r="F55" s="326" t="e">
        <f t="shared" si="19"/>
        <v>#REF!</v>
      </c>
      <c r="G55" s="326" t="e">
        <f t="shared" si="19"/>
        <v>#REF!</v>
      </c>
      <c r="H55" s="326" t="e">
        <f t="shared" si="19"/>
        <v>#REF!</v>
      </c>
      <c r="I55" s="335" t="e">
        <f t="shared" si="19"/>
        <v>#REF!</v>
      </c>
      <c r="J55" s="326" t="e">
        <f t="shared" si="19"/>
        <v>#REF!</v>
      </c>
      <c r="K55" s="326" t="e">
        <f t="shared" si="19"/>
        <v>#REF!</v>
      </c>
      <c r="L55" s="326" t="e">
        <f t="shared" si="19"/>
        <v>#REF!</v>
      </c>
      <c r="M55" s="326" t="e">
        <f t="shared" si="19"/>
        <v>#REF!</v>
      </c>
      <c r="N55" s="326" t="e">
        <f t="shared" si="19"/>
        <v>#REF!</v>
      </c>
      <c r="O55" s="326" t="e">
        <f t="shared" si="19"/>
        <v>#REF!</v>
      </c>
      <c r="P55" s="326" t="e">
        <f t="shared" si="19"/>
        <v>#REF!</v>
      </c>
      <c r="Q55" s="326" t="e">
        <f t="shared" si="19"/>
        <v>#REF!</v>
      </c>
      <c r="R55" s="326" t="e">
        <f t="shared" si="19"/>
        <v>#REF!</v>
      </c>
    </row>
    <row r="56" spans="1:18">
      <c r="A56" s="84"/>
      <c r="B56" s="329"/>
      <c r="C56" s="254"/>
      <c r="D56" s="254"/>
      <c r="E56" s="254"/>
      <c r="F56" s="254"/>
      <c r="G56" s="254"/>
      <c r="H56" s="254"/>
      <c r="I56" s="328"/>
      <c r="J56" s="254"/>
      <c r="K56" s="254"/>
      <c r="L56" s="254"/>
      <c r="M56" s="254"/>
      <c r="N56" s="254"/>
      <c r="O56" s="254"/>
      <c r="P56" s="254"/>
      <c r="Q56" s="254"/>
      <c r="R56" s="254"/>
    </row>
    <row r="57" spans="1:18">
      <c r="A57" s="84" t="s">
        <v>277</v>
      </c>
      <c r="B57" s="329"/>
      <c r="C57" s="254"/>
      <c r="D57" s="254"/>
      <c r="E57" s="254"/>
      <c r="F57" s="254"/>
      <c r="G57" s="254"/>
      <c r="H57" s="254"/>
      <c r="I57" s="328"/>
      <c r="J57" s="254"/>
      <c r="K57" s="254"/>
      <c r="L57" s="254"/>
      <c r="M57" s="254"/>
      <c r="N57" s="254"/>
      <c r="O57" s="254"/>
      <c r="P57" s="254"/>
      <c r="Q57" s="254"/>
      <c r="R57" s="254"/>
    </row>
    <row r="58" spans="1:18">
      <c r="A58" s="256" t="s">
        <v>260</v>
      </c>
      <c r="B58" s="326"/>
      <c r="C58" s="326" t="e">
        <f t="shared" ref="C58:R58" si="20">SUM(C29,C35,C41)*C$17</f>
        <v>#REF!</v>
      </c>
      <c r="D58" s="326" t="e">
        <f t="shared" si="20"/>
        <v>#REF!</v>
      </c>
      <c r="E58" s="326" t="e">
        <f t="shared" si="20"/>
        <v>#REF!</v>
      </c>
      <c r="F58" s="326" t="e">
        <f t="shared" si="20"/>
        <v>#REF!</v>
      </c>
      <c r="G58" s="326" t="e">
        <f t="shared" si="20"/>
        <v>#REF!</v>
      </c>
      <c r="H58" s="326" t="e">
        <f t="shared" si="20"/>
        <v>#REF!</v>
      </c>
      <c r="I58" s="335" t="e">
        <f t="shared" si="20"/>
        <v>#REF!</v>
      </c>
      <c r="J58" s="326" t="e">
        <f t="shared" si="20"/>
        <v>#REF!</v>
      </c>
      <c r="K58" s="326" t="e">
        <f t="shared" si="20"/>
        <v>#REF!</v>
      </c>
      <c r="L58" s="326" t="e">
        <f t="shared" si="20"/>
        <v>#REF!</v>
      </c>
      <c r="M58" s="326" t="e">
        <f t="shared" si="20"/>
        <v>#REF!</v>
      </c>
      <c r="N58" s="326" t="e">
        <f t="shared" si="20"/>
        <v>#REF!</v>
      </c>
      <c r="O58" s="326" t="e">
        <f t="shared" si="20"/>
        <v>#REF!</v>
      </c>
      <c r="P58" s="326" t="e">
        <f t="shared" si="20"/>
        <v>#REF!</v>
      </c>
      <c r="Q58" s="326" t="e">
        <f t="shared" si="20"/>
        <v>#REF!</v>
      </c>
      <c r="R58" s="326" t="e">
        <f t="shared" si="20"/>
        <v>#REF!</v>
      </c>
    </row>
    <row r="59" spans="1:18">
      <c r="A59" s="256" t="s">
        <v>259</v>
      </c>
      <c r="B59" s="326"/>
      <c r="C59" s="326" t="e">
        <f t="shared" ref="C59:R59" si="21">SUM(C30,C36,C42)*C$17</f>
        <v>#REF!</v>
      </c>
      <c r="D59" s="326" t="e">
        <f t="shared" si="21"/>
        <v>#REF!</v>
      </c>
      <c r="E59" s="326" t="e">
        <f t="shared" si="21"/>
        <v>#REF!</v>
      </c>
      <c r="F59" s="326" t="e">
        <f t="shared" si="21"/>
        <v>#REF!</v>
      </c>
      <c r="G59" s="326" t="e">
        <f t="shared" si="21"/>
        <v>#REF!</v>
      </c>
      <c r="H59" s="326" t="e">
        <f t="shared" si="21"/>
        <v>#REF!</v>
      </c>
      <c r="I59" s="335" t="e">
        <f t="shared" si="21"/>
        <v>#REF!</v>
      </c>
      <c r="J59" s="326" t="e">
        <f t="shared" si="21"/>
        <v>#REF!</v>
      </c>
      <c r="K59" s="326" t="e">
        <f t="shared" si="21"/>
        <v>#REF!</v>
      </c>
      <c r="L59" s="326" t="e">
        <f t="shared" si="21"/>
        <v>#REF!</v>
      </c>
      <c r="M59" s="326" t="e">
        <f t="shared" si="21"/>
        <v>#REF!</v>
      </c>
      <c r="N59" s="326" t="e">
        <f t="shared" si="21"/>
        <v>#REF!</v>
      </c>
      <c r="O59" s="326" t="e">
        <f t="shared" si="21"/>
        <v>#REF!</v>
      </c>
      <c r="P59" s="326" t="e">
        <f t="shared" si="21"/>
        <v>#REF!</v>
      </c>
      <c r="Q59" s="326" t="e">
        <f t="shared" si="21"/>
        <v>#REF!</v>
      </c>
      <c r="R59" s="326" t="e">
        <f t="shared" si="21"/>
        <v>#REF!</v>
      </c>
    </row>
    <row r="60" spans="1:18">
      <c r="A60" s="256" t="s">
        <v>258</v>
      </c>
      <c r="B60" s="326"/>
      <c r="C60" s="326" t="e">
        <f t="shared" ref="C60:R60" si="22">SUM(C31,C37,C43,C49)*C$17</f>
        <v>#REF!</v>
      </c>
      <c r="D60" s="326" t="e">
        <f t="shared" si="22"/>
        <v>#REF!</v>
      </c>
      <c r="E60" s="326" t="e">
        <f t="shared" si="22"/>
        <v>#REF!</v>
      </c>
      <c r="F60" s="326" t="e">
        <f t="shared" si="22"/>
        <v>#REF!</v>
      </c>
      <c r="G60" s="326" t="e">
        <f t="shared" si="22"/>
        <v>#REF!</v>
      </c>
      <c r="H60" s="326" t="e">
        <f t="shared" si="22"/>
        <v>#REF!</v>
      </c>
      <c r="I60" s="335" t="e">
        <f t="shared" si="22"/>
        <v>#REF!</v>
      </c>
      <c r="J60" s="326" t="e">
        <f t="shared" si="22"/>
        <v>#REF!</v>
      </c>
      <c r="K60" s="326" t="e">
        <f t="shared" si="22"/>
        <v>#REF!</v>
      </c>
      <c r="L60" s="326" t="e">
        <f t="shared" si="22"/>
        <v>#REF!</v>
      </c>
      <c r="M60" s="326" t="e">
        <f t="shared" si="22"/>
        <v>#REF!</v>
      </c>
      <c r="N60" s="326" t="e">
        <f t="shared" si="22"/>
        <v>#REF!</v>
      </c>
      <c r="O60" s="326" t="e">
        <f t="shared" si="22"/>
        <v>#REF!</v>
      </c>
      <c r="P60" s="326" t="e">
        <f t="shared" si="22"/>
        <v>#REF!</v>
      </c>
      <c r="Q60" s="326" t="e">
        <f t="shared" si="22"/>
        <v>#REF!</v>
      </c>
      <c r="R60" s="326" t="e">
        <f t="shared" si="22"/>
        <v>#REF!</v>
      </c>
    </row>
    <row r="61" spans="1:18">
      <c r="A61" s="84"/>
      <c r="B61" s="329"/>
      <c r="C61" s="254"/>
      <c r="D61" s="254"/>
      <c r="E61" s="254"/>
      <c r="F61" s="254"/>
      <c r="G61" s="254"/>
      <c r="H61" s="254"/>
      <c r="I61" s="328"/>
      <c r="J61" s="254"/>
      <c r="K61" s="254"/>
      <c r="L61" s="254"/>
      <c r="M61" s="254"/>
      <c r="N61" s="254"/>
      <c r="O61" s="254"/>
      <c r="P61" s="254"/>
      <c r="Q61" s="254"/>
      <c r="R61" s="254"/>
    </row>
    <row r="62" spans="1:18">
      <c r="A62" s="84"/>
      <c r="B62" s="329"/>
      <c r="C62" s="254"/>
      <c r="D62" s="254"/>
      <c r="E62" s="254"/>
      <c r="F62" s="254"/>
      <c r="G62" s="254"/>
      <c r="H62" s="254"/>
      <c r="I62" s="328"/>
      <c r="J62" s="254"/>
      <c r="K62" s="254"/>
      <c r="L62" s="254"/>
      <c r="M62" s="254"/>
      <c r="N62" s="254"/>
      <c r="O62" s="254"/>
      <c r="P62" s="254"/>
      <c r="Q62" s="254"/>
      <c r="R62" s="254"/>
    </row>
    <row r="63" spans="1:18">
      <c r="A63" s="337" t="s">
        <v>276</v>
      </c>
      <c r="B63" s="336"/>
      <c r="C63" s="336"/>
      <c r="D63" s="336"/>
      <c r="E63" s="336"/>
      <c r="F63" s="336"/>
      <c r="G63" s="336"/>
      <c r="H63" s="336"/>
      <c r="I63" s="313"/>
      <c r="J63" s="336"/>
      <c r="K63" s="336"/>
      <c r="L63" s="336"/>
      <c r="M63" s="336"/>
      <c r="N63" s="336"/>
      <c r="O63" s="336"/>
      <c r="P63" s="336"/>
      <c r="Q63" s="336"/>
      <c r="R63" s="336"/>
    </row>
    <row r="64" spans="1:18">
      <c r="A64" s="84"/>
      <c r="B64" s="329"/>
      <c r="C64" s="254"/>
      <c r="D64" s="254"/>
      <c r="E64" s="254"/>
      <c r="F64" s="254"/>
      <c r="G64" s="254"/>
      <c r="H64" s="254"/>
      <c r="I64" s="328"/>
      <c r="J64" s="254"/>
      <c r="K64" s="254"/>
      <c r="L64" s="254"/>
      <c r="M64" s="254"/>
      <c r="N64" s="254"/>
      <c r="O64" s="254"/>
      <c r="P64" s="254"/>
      <c r="Q64" s="254"/>
      <c r="R64" s="254"/>
    </row>
    <row r="65" spans="1:18">
      <c r="A65" s="84" t="s">
        <v>81</v>
      </c>
      <c r="B65" s="329"/>
      <c r="C65" s="254"/>
      <c r="D65" s="254"/>
      <c r="E65" s="254"/>
      <c r="F65" s="254"/>
      <c r="G65" s="254"/>
      <c r="H65" s="254"/>
      <c r="I65" s="328"/>
      <c r="J65" s="254"/>
      <c r="K65" s="254"/>
      <c r="L65" s="254"/>
      <c r="M65" s="254"/>
      <c r="N65" s="254"/>
      <c r="O65" s="254"/>
      <c r="P65" s="254"/>
      <c r="Q65" s="254"/>
      <c r="R65" s="254"/>
    </row>
    <row r="66" spans="1:18">
      <c r="A66" s="256" t="s">
        <v>260</v>
      </c>
      <c r="B66" s="326"/>
      <c r="C66" s="326" t="e">
        <f t="shared" ref="C66:R66" si="23">C13-C53</f>
        <v>#REF!</v>
      </c>
      <c r="D66" s="326" t="e">
        <f t="shared" si="23"/>
        <v>#REF!</v>
      </c>
      <c r="E66" s="326" t="e">
        <f t="shared" si="23"/>
        <v>#REF!</v>
      </c>
      <c r="F66" s="326" t="e">
        <f t="shared" si="23"/>
        <v>#REF!</v>
      </c>
      <c r="G66" s="326" t="e">
        <f t="shared" si="23"/>
        <v>#REF!</v>
      </c>
      <c r="H66" s="326" t="e">
        <f t="shared" si="23"/>
        <v>#REF!</v>
      </c>
      <c r="I66" s="335" t="e">
        <f t="shared" si="23"/>
        <v>#REF!</v>
      </c>
      <c r="J66" s="326" t="e">
        <f t="shared" si="23"/>
        <v>#REF!</v>
      </c>
      <c r="K66" s="326" t="e">
        <f t="shared" si="23"/>
        <v>#REF!</v>
      </c>
      <c r="L66" s="326" t="e">
        <f t="shared" si="23"/>
        <v>#REF!</v>
      </c>
      <c r="M66" s="326" t="e">
        <f t="shared" si="23"/>
        <v>#REF!</v>
      </c>
      <c r="N66" s="326" t="e">
        <f t="shared" si="23"/>
        <v>#REF!</v>
      </c>
      <c r="O66" s="326" t="e">
        <f t="shared" si="23"/>
        <v>#REF!</v>
      </c>
      <c r="P66" s="326" t="e">
        <f t="shared" si="23"/>
        <v>#REF!</v>
      </c>
      <c r="Q66" s="326" t="e">
        <f t="shared" si="23"/>
        <v>#REF!</v>
      </c>
      <c r="R66" s="326" t="e">
        <f t="shared" si="23"/>
        <v>#REF!</v>
      </c>
    </row>
    <row r="67" spans="1:18">
      <c r="A67" s="256" t="s">
        <v>259</v>
      </c>
      <c r="B67" s="326"/>
      <c r="C67" s="326" t="e">
        <f t="shared" ref="C67:R67" si="24">C14-C54</f>
        <v>#REF!</v>
      </c>
      <c r="D67" s="326" t="e">
        <f t="shared" si="24"/>
        <v>#REF!</v>
      </c>
      <c r="E67" s="326" t="e">
        <f t="shared" si="24"/>
        <v>#REF!</v>
      </c>
      <c r="F67" s="326" t="e">
        <f t="shared" si="24"/>
        <v>#REF!</v>
      </c>
      <c r="G67" s="326" t="e">
        <f t="shared" si="24"/>
        <v>#REF!</v>
      </c>
      <c r="H67" s="326" t="e">
        <f t="shared" si="24"/>
        <v>#REF!</v>
      </c>
      <c r="I67" s="335" t="e">
        <f t="shared" si="24"/>
        <v>#REF!</v>
      </c>
      <c r="J67" s="326" t="e">
        <f t="shared" si="24"/>
        <v>#REF!</v>
      </c>
      <c r="K67" s="326" t="e">
        <f t="shared" si="24"/>
        <v>#REF!</v>
      </c>
      <c r="L67" s="326" t="e">
        <f t="shared" si="24"/>
        <v>#REF!</v>
      </c>
      <c r="M67" s="326" t="e">
        <f t="shared" si="24"/>
        <v>#REF!</v>
      </c>
      <c r="N67" s="326" t="e">
        <f t="shared" si="24"/>
        <v>#REF!</v>
      </c>
      <c r="O67" s="326" t="e">
        <f t="shared" si="24"/>
        <v>#REF!</v>
      </c>
      <c r="P67" s="326" t="e">
        <f t="shared" si="24"/>
        <v>#REF!</v>
      </c>
      <c r="Q67" s="326" t="e">
        <f t="shared" si="24"/>
        <v>#REF!</v>
      </c>
      <c r="R67" s="326" t="e">
        <f t="shared" si="24"/>
        <v>#REF!</v>
      </c>
    </row>
    <row r="68" spans="1:18">
      <c r="A68" s="256" t="s">
        <v>258</v>
      </c>
      <c r="B68" s="326"/>
      <c r="C68" s="326" t="e">
        <f t="shared" ref="C68:R68" si="25">C15-C55</f>
        <v>#REF!</v>
      </c>
      <c r="D68" s="326" t="e">
        <f t="shared" si="25"/>
        <v>#REF!</v>
      </c>
      <c r="E68" s="326" t="e">
        <f t="shared" si="25"/>
        <v>#REF!</v>
      </c>
      <c r="F68" s="326" t="e">
        <f t="shared" si="25"/>
        <v>#REF!</v>
      </c>
      <c r="G68" s="326" t="e">
        <f t="shared" si="25"/>
        <v>#REF!</v>
      </c>
      <c r="H68" s="326" t="e">
        <f t="shared" si="25"/>
        <v>#REF!</v>
      </c>
      <c r="I68" s="335" t="e">
        <f t="shared" si="25"/>
        <v>#REF!</v>
      </c>
      <c r="J68" s="326" t="e">
        <f t="shared" si="25"/>
        <v>#REF!</v>
      </c>
      <c r="K68" s="326" t="e">
        <f t="shared" si="25"/>
        <v>#REF!</v>
      </c>
      <c r="L68" s="326" t="e">
        <f t="shared" si="25"/>
        <v>#REF!</v>
      </c>
      <c r="M68" s="326" t="e">
        <f t="shared" si="25"/>
        <v>#REF!</v>
      </c>
      <c r="N68" s="326" t="e">
        <f t="shared" si="25"/>
        <v>#REF!</v>
      </c>
      <c r="O68" s="326" t="e">
        <f t="shared" si="25"/>
        <v>#REF!</v>
      </c>
      <c r="P68" s="326" t="e">
        <f t="shared" si="25"/>
        <v>#REF!</v>
      </c>
      <c r="Q68" s="326" t="e">
        <f t="shared" si="25"/>
        <v>#REF!</v>
      </c>
      <c r="R68" s="326" t="e">
        <f t="shared" si="25"/>
        <v>#REF!</v>
      </c>
    </row>
    <row r="69" spans="1:18">
      <c r="A69" s="334" t="s">
        <v>219</v>
      </c>
      <c r="B69" s="332"/>
      <c r="C69" s="332" t="e">
        <f t="shared" ref="C69:R69" si="26">SUM(C66:C68)</f>
        <v>#REF!</v>
      </c>
      <c r="D69" s="332" t="e">
        <f t="shared" si="26"/>
        <v>#REF!</v>
      </c>
      <c r="E69" s="332" t="e">
        <f t="shared" si="26"/>
        <v>#REF!</v>
      </c>
      <c r="F69" s="332" t="e">
        <f t="shared" si="26"/>
        <v>#REF!</v>
      </c>
      <c r="G69" s="332" t="e">
        <f t="shared" si="26"/>
        <v>#REF!</v>
      </c>
      <c r="H69" s="332" t="e">
        <f t="shared" si="26"/>
        <v>#REF!</v>
      </c>
      <c r="I69" s="333" t="e">
        <f t="shared" si="26"/>
        <v>#REF!</v>
      </c>
      <c r="J69" s="332" t="e">
        <f t="shared" si="26"/>
        <v>#REF!</v>
      </c>
      <c r="K69" s="332" t="e">
        <f t="shared" si="26"/>
        <v>#REF!</v>
      </c>
      <c r="L69" s="332" t="e">
        <f t="shared" si="26"/>
        <v>#REF!</v>
      </c>
      <c r="M69" s="332" t="e">
        <f t="shared" si="26"/>
        <v>#REF!</v>
      </c>
      <c r="N69" s="332" t="e">
        <f t="shared" si="26"/>
        <v>#REF!</v>
      </c>
      <c r="O69" s="332" t="e">
        <f t="shared" si="26"/>
        <v>#REF!</v>
      </c>
      <c r="P69" s="332" t="e">
        <f t="shared" si="26"/>
        <v>#REF!</v>
      </c>
      <c r="Q69" s="332" t="e">
        <f t="shared" si="26"/>
        <v>#REF!</v>
      </c>
      <c r="R69" s="332" t="e">
        <f t="shared" si="26"/>
        <v>#REF!</v>
      </c>
    </row>
    <row r="70" spans="1:18">
      <c r="A70" s="84"/>
      <c r="B70" s="329"/>
      <c r="C70" s="254"/>
      <c r="D70" s="254"/>
      <c r="E70" s="254"/>
      <c r="F70" s="254"/>
      <c r="G70" s="254"/>
      <c r="H70" s="254"/>
      <c r="I70" s="328"/>
      <c r="J70" s="254"/>
      <c r="K70" s="254"/>
      <c r="L70" s="254"/>
      <c r="M70" s="254"/>
      <c r="N70" s="254"/>
      <c r="O70" s="254"/>
      <c r="P70" s="254"/>
      <c r="Q70" s="254"/>
      <c r="R70" s="254"/>
    </row>
    <row r="71" spans="1:18">
      <c r="A71" s="84" t="s">
        <v>220</v>
      </c>
      <c r="B71" s="329"/>
      <c r="C71" s="254"/>
      <c r="D71" s="254"/>
      <c r="E71" s="254"/>
      <c r="F71" s="254"/>
      <c r="G71" s="254"/>
      <c r="H71" s="254"/>
      <c r="I71" s="328"/>
      <c r="J71" s="254"/>
      <c r="K71" s="254"/>
      <c r="L71" s="254"/>
      <c r="M71" s="254"/>
      <c r="N71" s="254"/>
      <c r="O71" s="254"/>
      <c r="P71" s="254"/>
      <c r="Q71" s="254"/>
      <c r="R71" s="254"/>
    </row>
    <row r="72" spans="1:18">
      <c r="A72" s="256" t="s">
        <v>260</v>
      </c>
      <c r="B72" s="326"/>
      <c r="C72" s="326" t="e">
        <f t="shared" ref="C72:R72" si="27">C18-C58</f>
        <v>#REF!</v>
      </c>
      <c r="D72" s="326" t="e">
        <f t="shared" si="27"/>
        <v>#REF!</v>
      </c>
      <c r="E72" s="326" t="e">
        <f t="shared" si="27"/>
        <v>#REF!</v>
      </c>
      <c r="F72" s="326" t="e">
        <f t="shared" si="27"/>
        <v>#REF!</v>
      </c>
      <c r="G72" s="326" t="e">
        <f t="shared" si="27"/>
        <v>#REF!</v>
      </c>
      <c r="H72" s="326" t="e">
        <f t="shared" si="27"/>
        <v>#REF!</v>
      </c>
      <c r="I72" s="335" t="e">
        <f t="shared" si="27"/>
        <v>#REF!</v>
      </c>
      <c r="J72" s="326" t="e">
        <f t="shared" si="27"/>
        <v>#REF!</v>
      </c>
      <c r="K72" s="326" t="e">
        <f t="shared" si="27"/>
        <v>#REF!</v>
      </c>
      <c r="L72" s="326" t="e">
        <f t="shared" si="27"/>
        <v>#REF!</v>
      </c>
      <c r="M72" s="326" t="e">
        <f t="shared" si="27"/>
        <v>#REF!</v>
      </c>
      <c r="N72" s="326" t="e">
        <f t="shared" si="27"/>
        <v>#REF!</v>
      </c>
      <c r="O72" s="326" t="e">
        <f t="shared" si="27"/>
        <v>#REF!</v>
      </c>
      <c r="P72" s="326" t="e">
        <f t="shared" si="27"/>
        <v>#REF!</v>
      </c>
      <c r="Q72" s="326" t="e">
        <f t="shared" si="27"/>
        <v>#REF!</v>
      </c>
      <c r="R72" s="326" t="e">
        <f t="shared" si="27"/>
        <v>#REF!</v>
      </c>
    </row>
    <row r="73" spans="1:18">
      <c r="A73" s="256" t="s">
        <v>259</v>
      </c>
      <c r="B73" s="326"/>
      <c r="C73" s="326" t="e">
        <f t="shared" ref="C73:R73" si="28">C19-C59</f>
        <v>#REF!</v>
      </c>
      <c r="D73" s="326" t="e">
        <f t="shared" si="28"/>
        <v>#REF!</v>
      </c>
      <c r="E73" s="326" t="e">
        <f t="shared" si="28"/>
        <v>#REF!</v>
      </c>
      <c r="F73" s="326" t="e">
        <f t="shared" si="28"/>
        <v>#REF!</v>
      </c>
      <c r="G73" s="326" t="e">
        <f t="shared" si="28"/>
        <v>#REF!</v>
      </c>
      <c r="H73" s="326" t="e">
        <f t="shared" si="28"/>
        <v>#REF!</v>
      </c>
      <c r="I73" s="335" t="e">
        <f t="shared" si="28"/>
        <v>#REF!</v>
      </c>
      <c r="J73" s="326" t="e">
        <f t="shared" si="28"/>
        <v>#REF!</v>
      </c>
      <c r="K73" s="326" t="e">
        <f t="shared" si="28"/>
        <v>#REF!</v>
      </c>
      <c r="L73" s="326" t="e">
        <f t="shared" si="28"/>
        <v>#REF!</v>
      </c>
      <c r="M73" s="326" t="e">
        <f t="shared" si="28"/>
        <v>#REF!</v>
      </c>
      <c r="N73" s="326" t="e">
        <f t="shared" si="28"/>
        <v>#REF!</v>
      </c>
      <c r="O73" s="326" t="e">
        <f t="shared" si="28"/>
        <v>#REF!</v>
      </c>
      <c r="P73" s="326" t="e">
        <f t="shared" si="28"/>
        <v>#REF!</v>
      </c>
      <c r="Q73" s="326" t="e">
        <f t="shared" si="28"/>
        <v>#REF!</v>
      </c>
      <c r="R73" s="326" t="e">
        <f t="shared" si="28"/>
        <v>#REF!</v>
      </c>
    </row>
    <row r="74" spans="1:18">
      <c r="A74" s="256" t="s">
        <v>258</v>
      </c>
      <c r="B74" s="326"/>
      <c r="C74" s="326" t="e">
        <f t="shared" ref="C74:R74" si="29">C20-C60</f>
        <v>#REF!</v>
      </c>
      <c r="D74" s="326" t="e">
        <f t="shared" si="29"/>
        <v>#REF!</v>
      </c>
      <c r="E74" s="326" t="e">
        <f t="shared" si="29"/>
        <v>#REF!</v>
      </c>
      <c r="F74" s="326" t="e">
        <f t="shared" si="29"/>
        <v>#REF!</v>
      </c>
      <c r="G74" s="326" t="e">
        <f t="shared" si="29"/>
        <v>#REF!</v>
      </c>
      <c r="H74" s="326" t="e">
        <f t="shared" si="29"/>
        <v>#REF!</v>
      </c>
      <c r="I74" s="335" t="e">
        <f t="shared" si="29"/>
        <v>#REF!</v>
      </c>
      <c r="J74" s="326" t="e">
        <f t="shared" si="29"/>
        <v>#REF!</v>
      </c>
      <c r="K74" s="326" t="e">
        <f t="shared" si="29"/>
        <v>#REF!</v>
      </c>
      <c r="L74" s="326" t="e">
        <f t="shared" si="29"/>
        <v>#REF!</v>
      </c>
      <c r="M74" s="326" t="e">
        <f t="shared" si="29"/>
        <v>#REF!</v>
      </c>
      <c r="N74" s="326" t="e">
        <f t="shared" si="29"/>
        <v>#REF!</v>
      </c>
      <c r="O74" s="326" t="e">
        <f t="shared" si="29"/>
        <v>#REF!</v>
      </c>
      <c r="P74" s="326" t="e">
        <f t="shared" si="29"/>
        <v>#REF!</v>
      </c>
      <c r="Q74" s="326" t="e">
        <f t="shared" si="29"/>
        <v>#REF!</v>
      </c>
      <c r="R74" s="326" t="e">
        <f t="shared" si="29"/>
        <v>#REF!</v>
      </c>
    </row>
    <row r="75" spans="1:18">
      <c r="A75" s="334" t="s">
        <v>219</v>
      </c>
      <c r="B75" s="332"/>
      <c r="C75" s="332" t="e">
        <f t="shared" ref="C75:R75" si="30">SUM(C72:C74)</f>
        <v>#REF!</v>
      </c>
      <c r="D75" s="332" t="e">
        <f t="shared" si="30"/>
        <v>#REF!</v>
      </c>
      <c r="E75" s="332" t="e">
        <f t="shared" si="30"/>
        <v>#REF!</v>
      </c>
      <c r="F75" s="332" t="e">
        <f t="shared" si="30"/>
        <v>#REF!</v>
      </c>
      <c r="G75" s="332" t="e">
        <f t="shared" si="30"/>
        <v>#REF!</v>
      </c>
      <c r="H75" s="332" t="e">
        <f t="shared" si="30"/>
        <v>#REF!</v>
      </c>
      <c r="I75" s="333" t="e">
        <f t="shared" si="30"/>
        <v>#REF!</v>
      </c>
      <c r="J75" s="332" t="e">
        <f t="shared" si="30"/>
        <v>#REF!</v>
      </c>
      <c r="K75" s="332" t="e">
        <f t="shared" si="30"/>
        <v>#REF!</v>
      </c>
      <c r="L75" s="332" t="e">
        <f t="shared" si="30"/>
        <v>#REF!</v>
      </c>
      <c r="M75" s="332" t="e">
        <f t="shared" si="30"/>
        <v>#REF!</v>
      </c>
      <c r="N75" s="332" t="e">
        <f t="shared" si="30"/>
        <v>#REF!</v>
      </c>
      <c r="O75" s="332" t="e">
        <f t="shared" si="30"/>
        <v>#REF!</v>
      </c>
      <c r="P75" s="332" t="e">
        <f t="shared" si="30"/>
        <v>#REF!</v>
      </c>
      <c r="Q75" s="332" t="e">
        <f t="shared" si="30"/>
        <v>#REF!</v>
      </c>
      <c r="R75" s="332" t="e">
        <f t="shared" si="30"/>
        <v>#REF!</v>
      </c>
    </row>
    <row r="76" spans="1:18">
      <c r="A76" s="84"/>
      <c r="B76" s="329"/>
      <c r="C76" s="254"/>
      <c r="D76" s="254"/>
      <c r="E76" s="254"/>
      <c r="F76" s="254"/>
      <c r="G76" s="254"/>
      <c r="H76" s="254"/>
      <c r="I76" s="328"/>
      <c r="J76" s="254"/>
      <c r="K76" s="254"/>
      <c r="L76" s="254"/>
      <c r="M76" s="254"/>
      <c r="N76" s="254"/>
      <c r="O76" s="254"/>
      <c r="P76" s="254"/>
      <c r="Q76" s="254"/>
      <c r="R76" s="254"/>
    </row>
    <row r="77" spans="1:18">
      <c r="A77" s="84" t="s">
        <v>219</v>
      </c>
      <c r="B77" s="329"/>
      <c r="C77" s="254"/>
      <c r="D77" s="254"/>
      <c r="E77" s="254"/>
      <c r="F77" s="254"/>
      <c r="G77" s="254"/>
      <c r="H77" s="254"/>
      <c r="I77" s="328"/>
      <c r="J77" s="254"/>
      <c r="K77" s="254"/>
      <c r="L77" s="254"/>
      <c r="M77" s="254"/>
      <c r="N77" s="254"/>
      <c r="O77" s="254"/>
      <c r="P77" s="254"/>
      <c r="Q77" s="254"/>
      <c r="R77" s="254"/>
    </row>
    <row r="78" spans="1:18">
      <c r="A78" s="256" t="s">
        <v>260</v>
      </c>
      <c r="B78" s="326"/>
      <c r="C78" s="326" t="e">
        <f t="shared" ref="C78:R78" si="31">C66+C72</f>
        <v>#REF!</v>
      </c>
      <c r="D78" s="326" t="e">
        <f t="shared" si="31"/>
        <v>#REF!</v>
      </c>
      <c r="E78" s="326" t="e">
        <f t="shared" si="31"/>
        <v>#REF!</v>
      </c>
      <c r="F78" s="326" t="e">
        <f t="shared" si="31"/>
        <v>#REF!</v>
      </c>
      <c r="G78" s="326" t="e">
        <f t="shared" si="31"/>
        <v>#REF!</v>
      </c>
      <c r="H78" s="326" t="e">
        <f t="shared" si="31"/>
        <v>#REF!</v>
      </c>
      <c r="I78" s="335" t="e">
        <f t="shared" si="31"/>
        <v>#REF!</v>
      </c>
      <c r="J78" s="326" t="e">
        <f t="shared" si="31"/>
        <v>#REF!</v>
      </c>
      <c r="K78" s="326" t="e">
        <f t="shared" si="31"/>
        <v>#REF!</v>
      </c>
      <c r="L78" s="326" t="e">
        <f t="shared" si="31"/>
        <v>#REF!</v>
      </c>
      <c r="M78" s="326" t="e">
        <f t="shared" si="31"/>
        <v>#REF!</v>
      </c>
      <c r="N78" s="326" t="e">
        <f t="shared" si="31"/>
        <v>#REF!</v>
      </c>
      <c r="O78" s="326" t="e">
        <f t="shared" si="31"/>
        <v>#REF!</v>
      </c>
      <c r="P78" s="326" t="e">
        <f t="shared" si="31"/>
        <v>#REF!</v>
      </c>
      <c r="Q78" s="326" t="e">
        <f t="shared" si="31"/>
        <v>#REF!</v>
      </c>
      <c r="R78" s="326" t="e">
        <f t="shared" si="31"/>
        <v>#REF!</v>
      </c>
    </row>
    <row r="79" spans="1:18">
      <c r="A79" s="256" t="s">
        <v>259</v>
      </c>
      <c r="B79" s="326"/>
      <c r="C79" s="326" t="e">
        <f t="shared" ref="C79:R79" si="32">C67+C73</f>
        <v>#REF!</v>
      </c>
      <c r="D79" s="326" t="e">
        <f t="shared" si="32"/>
        <v>#REF!</v>
      </c>
      <c r="E79" s="326" t="e">
        <f t="shared" si="32"/>
        <v>#REF!</v>
      </c>
      <c r="F79" s="326" t="e">
        <f t="shared" si="32"/>
        <v>#REF!</v>
      </c>
      <c r="G79" s="326" t="e">
        <f t="shared" si="32"/>
        <v>#REF!</v>
      </c>
      <c r="H79" s="326" t="e">
        <f t="shared" si="32"/>
        <v>#REF!</v>
      </c>
      <c r="I79" s="335" t="e">
        <f t="shared" si="32"/>
        <v>#REF!</v>
      </c>
      <c r="J79" s="326" t="e">
        <f t="shared" si="32"/>
        <v>#REF!</v>
      </c>
      <c r="K79" s="326" t="e">
        <f t="shared" si="32"/>
        <v>#REF!</v>
      </c>
      <c r="L79" s="326" t="e">
        <f t="shared" si="32"/>
        <v>#REF!</v>
      </c>
      <c r="M79" s="326" t="e">
        <f t="shared" si="32"/>
        <v>#REF!</v>
      </c>
      <c r="N79" s="326" t="e">
        <f t="shared" si="32"/>
        <v>#REF!</v>
      </c>
      <c r="O79" s="326" t="e">
        <f t="shared" si="32"/>
        <v>#REF!</v>
      </c>
      <c r="P79" s="326" t="e">
        <f t="shared" si="32"/>
        <v>#REF!</v>
      </c>
      <c r="Q79" s="326" t="e">
        <f t="shared" si="32"/>
        <v>#REF!</v>
      </c>
      <c r="R79" s="326" t="e">
        <f t="shared" si="32"/>
        <v>#REF!</v>
      </c>
    </row>
    <row r="80" spans="1:18">
      <c r="A80" s="256" t="s">
        <v>258</v>
      </c>
      <c r="B80" s="326"/>
      <c r="C80" s="326" t="e">
        <f t="shared" ref="C80:R80" si="33">C68+C74</f>
        <v>#REF!</v>
      </c>
      <c r="D80" s="326" t="e">
        <f t="shared" si="33"/>
        <v>#REF!</v>
      </c>
      <c r="E80" s="326" t="e">
        <f t="shared" si="33"/>
        <v>#REF!</v>
      </c>
      <c r="F80" s="326" t="e">
        <f t="shared" si="33"/>
        <v>#REF!</v>
      </c>
      <c r="G80" s="326" t="e">
        <f t="shared" si="33"/>
        <v>#REF!</v>
      </c>
      <c r="H80" s="326" t="e">
        <f t="shared" si="33"/>
        <v>#REF!</v>
      </c>
      <c r="I80" s="335" t="e">
        <f t="shared" si="33"/>
        <v>#REF!</v>
      </c>
      <c r="J80" s="326" t="e">
        <f t="shared" si="33"/>
        <v>#REF!</v>
      </c>
      <c r="K80" s="326" t="e">
        <f t="shared" si="33"/>
        <v>#REF!</v>
      </c>
      <c r="L80" s="326" t="e">
        <f t="shared" si="33"/>
        <v>#REF!</v>
      </c>
      <c r="M80" s="326" t="e">
        <f t="shared" si="33"/>
        <v>#REF!</v>
      </c>
      <c r="N80" s="326" t="e">
        <f t="shared" si="33"/>
        <v>#REF!</v>
      </c>
      <c r="O80" s="326" t="e">
        <f t="shared" si="33"/>
        <v>#REF!</v>
      </c>
      <c r="P80" s="326" t="e">
        <f t="shared" si="33"/>
        <v>#REF!</v>
      </c>
      <c r="Q80" s="326" t="e">
        <f t="shared" si="33"/>
        <v>#REF!</v>
      </c>
      <c r="R80" s="326" t="e">
        <f t="shared" si="33"/>
        <v>#REF!</v>
      </c>
    </row>
    <row r="81" spans="1:18">
      <c r="A81" s="334" t="s">
        <v>219</v>
      </c>
      <c r="B81" s="332"/>
      <c r="C81" s="332" t="e">
        <f t="shared" ref="C81:R81" si="34">SUM(C78:C80)</f>
        <v>#REF!</v>
      </c>
      <c r="D81" s="332" t="e">
        <f t="shared" si="34"/>
        <v>#REF!</v>
      </c>
      <c r="E81" s="332" t="e">
        <f t="shared" si="34"/>
        <v>#REF!</v>
      </c>
      <c r="F81" s="332" t="e">
        <f t="shared" si="34"/>
        <v>#REF!</v>
      </c>
      <c r="G81" s="332" t="e">
        <f t="shared" si="34"/>
        <v>#REF!</v>
      </c>
      <c r="H81" s="332" t="e">
        <f t="shared" si="34"/>
        <v>#REF!</v>
      </c>
      <c r="I81" s="333" t="e">
        <f t="shared" si="34"/>
        <v>#REF!</v>
      </c>
      <c r="J81" s="332" t="e">
        <f t="shared" si="34"/>
        <v>#REF!</v>
      </c>
      <c r="K81" s="332" t="e">
        <f t="shared" si="34"/>
        <v>#REF!</v>
      </c>
      <c r="L81" s="332" t="e">
        <f t="shared" si="34"/>
        <v>#REF!</v>
      </c>
      <c r="M81" s="332" t="e">
        <f t="shared" si="34"/>
        <v>#REF!</v>
      </c>
      <c r="N81" s="332" t="e">
        <f t="shared" si="34"/>
        <v>#REF!</v>
      </c>
      <c r="O81" s="332" t="e">
        <f t="shared" si="34"/>
        <v>#REF!</v>
      </c>
      <c r="P81" s="332" t="e">
        <f t="shared" si="34"/>
        <v>#REF!</v>
      </c>
      <c r="Q81" s="332" t="e">
        <f t="shared" si="34"/>
        <v>#REF!</v>
      </c>
      <c r="R81" s="332" t="e">
        <f t="shared" si="34"/>
        <v>#REF!</v>
      </c>
    </row>
    <row r="82" spans="1:18">
      <c r="A82" s="84"/>
      <c r="B82" s="329"/>
      <c r="C82" s="254"/>
      <c r="D82" s="254"/>
      <c r="E82" s="254"/>
      <c r="F82" s="254"/>
      <c r="G82" s="254"/>
      <c r="H82" s="254"/>
      <c r="I82" s="328"/>
      <c r="J82" s="254"/>
      <c r="K82" s="254"/>
      <c r="L82" s="254"/>
      <c r="M82" s="254"/>
      <c r="N82" s="254"/>
      <c r="O82" s="254"/>
      <c r="P82" s="254"/>
      <c r="Q82" s="254"/>
      <c r="R82" s="254"/>
    </row>
    <row r="83" spans="1:18">
      <c r="A83" s="331" t="s">
        <v>275</v>
      </c>
      <c r="B83" s="330"/>
      <c r="C83" s="330"/>
      <c r="D83" s="330"/>
      <c r="E83" s="330"/>
      <c r="F83" s="330"/>
      <c r="G83" s="330"/>
      <c r="H83" s="330"/>
      <c r="I83" s="313"/>
      <c r="J83" s="330"/>
      <c r="K83" s="330"/>
      <c r="L83" s="330"/>
      <c r="M83" s="330"/>
      <c r="N83" s="330"/>
      <c r="O83" s="330"/>
      <c r="P83" s="330"/>
      <c r="Q83" s="330"/>
      <c r="R83" s="330"/>
    </row>
    <row r="84" spans="1:18">
      <c r="A84" s="84"/>
      <c r="B84" s="329"/>
      <c r="C84" s="254"/>
      <c r="D84" s="254"/>
      <c r="E84" s="254"/>
      <c r="F84" s="254"/>
      <c r="G84" s="254"/>
      <c r="H84" s="254"/>
      <c r="I84" s="328"/>
      <c r="J84" s="254"/>
      <c r="K84" s="254"/>
      <c r="L84" s="254"/>
      <c r="M84" s="254"/>
      <c r="N84" s="254"/>
      <c r="O84" s="254"/>
      <c r="P84" s="254"/>
      <c r="Q84" s="254"/>
      <c r="R84" s="254"/>
    </row>
    <row r="85" spans="1:18">
      <c r="A85" s="84" t="s">
        <v>91</v>
      </c>
      <c r="B85" s="254"/>
      <c r="C85" s="254"/>
      <c r="D85" s="254"/>
      <c r="E85" s="254"/>
      <c r="F85" s="254"/>
      <c r="G85" s="254"/>
      <c r="H85" s="254"/>
      <c r="I85" s="328"/>
      <c r="J85" s="254"/>
      <c r="K85" s="254"/>
      <c r="L85" s="254"/>
      <c r="M85" s="254"/>
      <c r="N85" s="254"/>
      <c r="O85" s="254"/>
      <c r="P85" s="254"/>
      <c r="Q85" s="254"/>
      <c r="R85" s="254"/>
    </row>
    <row r="86" spans="1:18">
      <c r="A86" s="327" t="s">
        <v>260</v>
      </c>
      <c r="B86" s="326"/>
      <c r="C86" s="326" t="e">
        <f>SUM(#REF!)</f>
        <v>#REF!</v>
      </c>
      <c r="D86" s="326" t="e">
        <f>SUM(#REF!)</f>
        <v>#REF!</v>
      </c>
      <c r="E86" s="326" t="e">
        <f>SUM(#REF!)</f>
        <v>#REF!</v>
      </c>
      <c r="F86" s="326" t="e">
        <f>SUM(#REF!)</f>
        <v>#REF!</v>
      </c>
      <c r="G86" s="326" t="e">
        <f>SUM(#REF!)</f>
        <v>#REF!</v>
      </c>
      <c r="H86" s="326" t="e">
        <f>SUM(#REF!)</f>
        <v>#REF!</v>
      </c>
      <c r="I86" s="325" t="e">
        <f t="shared" ref="I86:R86" si="35">H86</f>
        <v>#REF!</v>
      </c>
      <c r="J86" s="324" t="e">
        <f t="shared" si="35"/>
        <v>#REF!</v>
      </c>
      <c r="K86" s="324" t="e">
        <f t="shared" si="35"/>
        <v>#REF!</v>
      </c>
      <c r="L86" s="324" t="e">
        <f t="shared" si="35"/>
        <v>#REF!</v>
      </c>
      <c r="M86" s="324" t="e">
        <f t="shared" si="35"/>
        <v>#REF!</v>
      </c>
      <c r="N86" s="324" t="e">
        <f t="shared" si="35"/>
        <v>#REF!</v>
      </c>
      <c r="O86" s="324" t="e">
        <f t="shared" si="35"/>
        <v>#REF!</v>
      </c>
      <c r="P86" s="324" t="e">
        <f t="shared" si="35"/>
        <v>#REF!</v>
      </c>
      <c r="Q86" s="324" t="e">
        <f t="shared" si="35"/>
        <v>#REF!</v>
      </c>
      <c r="R86" s="324" t="e">
        <f t="shared" si="35"/>
        <v>#REF!</v>
      </c>
    </row>
    <row r="87" spans="1:18">
      <c r="A87" s="327" t="s">
        <v>259</v>
      </c>
      <c r="B87" s="326"/>
      <c r="C87" s="326" t="e">
        <f>SUM(#REF!)</f>
        <v>#REF!</v>
      </c>
      <c r="D87" s="326" t="e">
        <f>SUM(#REF!)</f>
        <v>#REF!</v>
      </c>
      <c r="E87" s="326" t="e">
        <f>SUM(#REF!)</f>
        <v>#REF!</v>
      </c>
      <c r="F87" s="326" t="e">
        <f>SUM(#REF!)</f>
        <v>#REF!</v>
      </c>
      <c r="G87" s="326" t="e">
        <f>SUM(#REF!)</f>
        <v>#REF!</v>
      </c>
      <c r="H87" s="326" t="e">
        <f>SUM(#REF!)</f>
        <v>#REF!</v>
      </c>
      <c r="I87" s="325" t="e">
        <f t="shared" ref="I87:R87" si="36">H87</f>
        <v>#REF!</v>
      </c>
      <c r="J87" s="324" t="e">
        <f t="shared" si="36"/>
        <v>#REF!</v>
      </c>
      <c r="K87" s="324" t="e">
        <f t="shared" si="36"/>
        <v>#REF!</v>
      </c>
      <c r="L87" s="324" t="e">
        <f t="shared" si="36"/>
        <v>#REF!</v>
      </c>
      <c r="M87" s="324" t="e">
        <f t="shared" si="36"/>
        <v>#REF!</v>
      </c>
      <c r="N87" s="324" t="e">
        <f t="shared" si="36"/>
        <v>#REF!</v>
      </c>
      <c r="O87" s="324" t="e">
        <f t="shared" si="36"/>
        <v>#REF!</v>
      </c>
      <c r="P87" s="324" t="e">
        <f t="shared" si="36"/>
        <v>#REF!</v>
      </c>
      <c r="Q87" s="324" t="e">
        <f t="shared" si="36"/>
        <v>#REF!</v>
      </c>
      <c r="R87" s="324" t="e">
        <f t="shared" si="36"/>
        <v>#REF!</v>
      </c>
    </row>
    <row r="88" spans="1:18">
      <c r="A88" s="327" t="s">
        <v>263</v>
      </c>
      <c r="B88" s="326"/>
      <c r="C88" s="326" t="e">
        <f>SUM(#REF!)</f>
        <v>#REF!</v>
      </c>
      <c r="D88" s="326" t="e">
        <f>SUM(#REF!)</f>
        <v>#REF!</v>
      </c>
      <c r="E88" s="326" t="e">
        <f>SUM(#REF!)</f>
        <v>#REF!</v>
      </c>
      <c r="F88" s="326" t="e">
        <f>SUM(#REF!)</f>
        <v>#REF!</v>
      </c>
      <c r="G88" s="326" t="e">
        <f>SUM(#REF!)</f>
        <v>#REF!</v>
      </c>
      <c r="H88" s="326" t="e">
        <f>SUM(#REF!)</f>
        <v>#REF!</v>
      </c>
      <c r="I88" s="325" t="e">
        <f t="shared" ref="I88:R88" si="37">H88</f>
        <v>#REF!</v>
      </c>
      <c r="J88" s="324" t="e">
        <f t="shared" si="37"/>
        <v>#REF!</v>
      </c>
      <c r="K88" s="324" t="e">
        <f t="shared" si="37"/>
        <v>#REF!</v>
      </c>
      <c r="L88" s="324" t="e">
        <f t="shared" si="37"/>
        <v>#REF!</v>
      </c>
      <c r="M88" s="324" t="e">
        <f t="shared" si="37"/>
        <v>#REF!</v>
      </c>
      <c r="N88" s="324" t="e">
        <f t="shared" si="37"/>
        <v>#REF!</v>
      </c>
      <c r="O88" s="324" t="e">
        <f t="shared" si="37"/>
        <v>#REF!</v>
      </c>
      <c r="P88" s="324" t="e">
        <f t="shared" si="37"/>
        <v>#REF!</v>
      </c>
      <c r="Q88" s="324" t="e">
        <f t="shared" si="37"/>
        <v>#REF!</v>
      </c>
      <c r="R88" s="324" t="e">
        <f t="shared" si="37"/>
        <v>#REF!</v>
      </c>
    </row>
    <row r="89" spans="1:18">
      <c r="A89" s="84"/>
      <c r="B89" s="254"/>
      <c r="C89" s="254"/>
      <c r="D89" s="254"/>
      <c r="E89" s="254"/>
      <c r="F89" s="254"/>
      <c r="G89" s="254"/>
      <c r="H89" s="254"/>
      <c r="I89" s="328"/>
      <c r="J89" s="254"/>
      <c r="K89" s="254"/>
      <c r="L89" s="254"/>
      <c r="M89" s="254"/>
      <c r="N89" s="254"/>
      <c r="O89" s="254"/>
      <c r="P89" s="254"/>
      <c r="Q89" s="254"/>
      <c r="R89" s="254"/>
    </row>
    <row r="90" spans="1:18">
      <c r="A90" s="84" t="s">
        <v>274</v>
      </c>
      <c r="B90" s="254"/>
      <c r="C90" s="254"/>
      <c r="D90" s="254"/>
      <c r="E90" s="254"/>
      <c r="F90" s="254"/>
      <c r="G90" s="254"/>
      <c r="H90" s="254"/>
      <c r="I90" s="328"/>
      <c r="J90" s="254"/>
      <c r="K90" s="254"/>
      <c r="L90" s="254"/>
      <c r="M90" s="254"/>
      <c r="N90" s="254"/>
      <c r="O90" s="254"/>
      <c r="P90" s="254"/>
      <c r="Q90" s="254"/>
      <c r="R90" s="254"/>
    </row>
    <row r="91" spans="1:18">
      <c r="A91" s="327" t="s">
        <v>260</v>
      </c>
      <c r="B91" s="326"/>
      <c r="C91" s="326" t="e">
        <f>SUMPRODUCT(#REF!,#REF!)</f>
        <v>#REF!</v>
      </c>
      <c r="D91" s="326" t="e">
        <f>SUMPRODUCT(#REF!,#REF!)</f>
        <v>#REF!</v>
      </c>
      <c r="E91" s="326" t="e">
        <f>SUMPRODUCT(#REF!,#REF!)</f>
        <v>#REF!</v>
      </c>
      <c r="F91" s="326" t="e">
        <f>SUMPRODUCT(#REF!,#REF!)</f>
        <v>#REF!</v>
      </c>
      <c r="G91" s="326" t="e">
        <f>SUMPRODUCT(#REF!,#REF!)</f>
        <v>#REF!</v>
      </c>
      <c r="H91" s="326" t="e">
        <f>SUMPRODUCT(#REF!,#REF!)</f>
        <v>#REF!</v>
      </c>
      <c r="I91" s="325" t="e">
        <f t="shared" ref="I91:R91" si="38">H91</f>
        <v>#REF!</v>
      </c>
      <c r="J91" s="324" t="e">
        <f t="shared" si="38"/>
        <v>#REF!</v>
      </c>
      <c r="K91" s="324" t="e">
        <f t="shared" si="38"/>
        <v>#REF!</v>
      </c>
      <c r="L91" s="324" t="e">
        <f t="shared" si="38"/>
        <v>#REF!</v>
      </c>
      <c r="M91" s="324" t="e">
        <f t="shared" si="38"/>
        <v>#REF!</v>
      </c>
      <c r="N91" s="324" t="e">
        <f t="shared" si="38"/>
        <v>#REF!</v>
      </c>
      <c r="O91" s="324" t="e">
        <f t="shared" si="38"/>
        <v>#REF!</v>
      </c>
      <c r="P91" s="324" t="e">
        <f t="shared" si="38"/>
        <v>#REF!</v>
      </c>
      <c r="Q91" s="324" t="e">
        <f t="shared" si="38"/>
        <v>#REF!</v>
      </c>
      <c r="R91" s="324" t="e">
        <f t="shared" si="38"/>
        <v>#REF!</v>
      </c>
    </row>
    <row r="92" spans="1:18">
      <c r="A92" s="327" t="s">
        <v>259</v>
      </c>
      <c r="B92" s="326"/>
      <c r="C92" s="326" t="e">
        <f>SUMPRODUCT(#REF!,#REF!)</f>
        <v>#REF!</v>
      </c>
      <c r="D92" s="326" t="e">
        <f>SUMPRODUCT(#REF!,#REF!)</f>
        <v>#REF!</v>
      </c>
      <c r="E92" s="326" t="e">
        <f>SUMPRODUCT(#REF!,#REF!)</f>
        <v>#REF!</v>
      </c>
      <c r="F92" s="326" t="e">
        <f>SUMPRODUCT(#REF!,#REF!)</f>
        <v>#REF!</v>
      </c>
      <c r="G92" s="326" t="e">
        <f>SUMPRODUCT(#REF!,#REF!)</f>
        <v>#REF!</v>
      </c>
      <c r="H92" s="326" t="e">
        <f>SUMPRODUCT(#REF!,#REF!)</f>
        <v>#REF!</v>
      </c>
      <c r="I92" s="325" t="e">
        <f t="shared" ref="I92:R92" si="39">H92</f>
        <v>#REF!</v>
      </c>
      <c r="J92" s="324" t="e">
        <f t="shared" si="39"/>
        <v>#REF!</v>
      </c>
      <c r="K92" s="324" t="e">
        <f t="shared" si="39"/>
        <v>#REF!</v>
      </c>
      <c r="L92" s="324" t="e">
        <f t="shared" si="39"/>
        <v>#REF!</v>
      </c>
      <c r="M92" s="324" t="e">
        <f t="shared" si="39"/>
        <v>#REF!</v>
      </c>
      <c r="N92" s="324" t="e">
        <f t="shared" si="39"/>
        <v>#REF!</v>
      </c>
      <c r="O92" s="324" t="e">
        <f t="shared" si="39"/>
        <v>#REF!</v>
      </c>
      <c r="P92" s="324" t="e">
        <f t="shared" si="39"/>
        <v>#REF!</v>
      </c>
      <c r="Q92" s="324" t="e">
        <f t="shared" si="39"/>
        <v>#REF!</v>
      </c>
      <c r="R92" s="324" t="e">
        <f t="shared" si="39"/>
        <v>#REF!</v>
      </c>
    </row>
    <row r="93" spans="1:18">
      <c r="A93" s="327" t="s">
        <v>263</v>
      </c>
      <c r="B93" s="326"/>
      <c r="C93" s="326" t="e">
        <f>SUMPRODUCT(#REF!,#REF!)</f>
        <v>#REF!</v>
      </c>
      <c r="D93" s="326" t="e">
        <f>SUMPRODUCT(#REF!,#REF!)</f>
        <v>#REF!</v>
      </c>
      <c r="E93" s="326" t="e">
        <f>SUMPRODUCT(#REF!,#REF!)</f>
        <v>#REF!</v>
      </c>
      <c r="F93" s="326" t="e">
        <f>SUMPRODUCT(#REF!,#REF!)</f>
        <v>#REF!</v>
      </c>
      <c r="G93" s="326" t="e">
        <f>SUMPRODUCT(#REF!,#REF!)</f>
        <v>#REF!</v>
      </c>
      <c r="H93" s="326" t="e">
        <f>SUMPRODUCT(#REF!,#REF!)</f>
        <v>#REF!</v>
      </c>
      <c r="I93" s="325" t="e">
        <f t="shared" ref="I93:R93" si="40">H93</f>
        <v>#REF!</v>
      </c>
      <c r="J93" s="324" t="e">
        <f t="shared" si="40"/>
        <v>#REF!</v>
      </c>
      <c r="K93" s="324" t="e">
        <f t="shared" si="40"/>
        <v>#REF!</v>
      </c>
      <c r="L93" s="324" t="e">
        <f t="shared" si="40"/>
        <v>#REF!</v>
      </c>
      <c r="M93" s="324" t="e">
        <f t="shared" si="40"/>
        <v>#REF!</v>
      </c>
      <c r="N93" s="324" t="e">
        <f t="shared" si="40"/>
        <v>#REF!</v>
      </c>
      <c r="O93" s="324" t="e">
        <f t="shared" si="40"/>
        <v>#REF!</v>
      </c>
      <c r="P93" s="324" t="e">
        <f t="shared" si="40"/>
        <v>#REF!</v>
      </c>
      <c r="Q93" s="324" t="e">
        <f t="shared" si="40"/>
        <v>#REF!</v>
      </c>
      <c r="R93" s="324" t="e">
        <f t="shared" si="40"/>
        <v>#REF!</v>
      </c>
    </row>
    <row r="94" spans="1:18">
      <c r="A94" s="84"/>
      <c r="B94" s="322"/>
      <c r="C94" s="322"/>
      <c r="D94" s="322"/>
      <c r="E94" s="322"/>
      <c r="F94" s="322"/>
      <c r="G94" s="322"/>
      <c r="H94" s="322"/>
      <c r="I94" s="323"/>
      <c r="J94" s="322"/>
      <c r="K94" s="322"/>
      <c r="L94" s="322"/>
      <c r="M94" s="322"/>
      <c r="N94" s="322"/>
      <c r="O94" s="322"/>
      <c r="P94" s="322"/>
      <c r="Q94" s="322"/>
      <c r="R94" s="322"/>
    </row>
    <row r="95" spans="1:18">
      <c r="A95" s="316" t="s">
        <v>273</v>
      </c>
      <c r="B95" s="312"/>
      <c r="C95" s="312"/>
      <c r="D95" s="312"/>
      <c r="E95" s="312"/>
      <c r="F95" s="312"/>
      <c r="G95" s="312"/>
      <c r="H95" s="312"/>
      <c r="I95" s="313"/>
      <c r="J95" s="312"/>
      <c r="K95" s="312"/>
      <c r="L95" s="312"/>
      <c r="M95" s="312"/>
      <c r="N95" s="312"/>
      <c r="O95" s="312"/>
      <c r="P95" s="312"/>
      <c r="Q95" s="312"/>
      <c r="R95" s="312"/>
    </row>
    <row r="96" spans="1:18">
      <c r="A96" s="84"/>
      <c r="B96" s="322"/>
      <c r="C96" s="322"/>
      <c r="D96" s="322"/>
      <c r="E96" s="322"/>
      <c r="F96" s="322"/>
      <c r="G96" s="322"/>
      <c r="H96" s="322"/>
      <c r="I96" s="323"/>
      <c r="J96" s="322"/>
      <c r="K96" s="322"/>
      <c r="L96" s="322"/>
      <c r="M96" s="322"/>
      <c r="N96" s="322"/>
      <c r="O96" s="322"/>
      <c r="P96" s="322"/>
      <c r="Q96" s="322"/>
      <c r="R96" s="322"/>
    </row>
    <row r="97" spans="1:18">
      <c r="A97" s="319" t="s">
        <v>267</v>
      </c>
      <c r="B97" s="322"/>
      <c r="C97" s="322"/>
      <c r="D97" s="322"/>
      <c r="E97" s="322"/>
      <c r="F97" s="322"/>
      <c r="G97" s="322"/>
      <c r="H97" s="322"/>
      <c r="I97" s="323"/>
      <c r="J97" s="322"/>
      <c r="K97" s="322"/>
      <c r="L97" s="322"/>
      <c r="M97" s="322"/>
      <c r="N97" s="322"/>
      <c r="O97" s="322"/>
      <c r="P97" s="322"/>
      <c r="Q97" s="322"/>
      <c r="R97" s="322"/>
    </row>
    <row r="98" spans="1:18">
      <c r="A98" s="83" t="s">
        <v>81</v>
      </c>
      <c r="B98" s="283"/>
      <c r="C98" s="283" t="e">
        <f t="shared" ref="C98:R98" si="41">C66*1000/C86/C$2</f>
        <v>#REF!</v>
      </c>
      <c r="D98" s="283" t="e">
        <f t="shared" si="41"/>
        <v>#REF!</v>
      </c>
      <c r="E98" s="283" t="e">
        <f t="shared" si="41"/>
        <v>#REF!</v>
      </c>
      <c r="F98" s="283" t="e">
        <f t="shared" si="41"/>
        <v>#REF!</v>
      </c>
      <c r="G98" s="283" t="e">
        <f t="shared" si="41"/>
        <v>#REF!</v>
      </c>
      <c r="H98" s="283" t="e">
        <f t="shared" si="41"/>
        <v>#REF!</v>
      </c>
      <c r="I98" s="284" t="e">
        <f t="shared" si="41"/>
        <v>#REF!</v>
      </c>
      <c r="J98" s="283" t="e">
        <f t="shared" si="41"/>
        <v>#REF!</v>
      </c>
      <c r="K98" s="283" t="e">
        <f t="shared" si="41"/>
        <v>#REF!</v>
      </c>
      <c r="L98" s="283" t="e">
        <f t="shared" si="41"/>
        <v>#REF!</v>
      </c>
      <c r="M98" s="283" t="e">
        <f t="shared" si="41"/>
        <v>#REF!</v>
      </c>
      <c r="N98" s="283" t="e">
        <f t="shared" si="41"/>
        <v>#REF!</v>
      </c>
      <c r="O98" s="283" t="e">
        <f t="shared" si="41"/>
        <v>#REF!</v>
      </c>
      <c r="P98" s="283" t="e">
        <f t="shared" si="41"/>
        <v>#REF!</v>
      </c>
      <c r="Q98" s="283" t="e">
        <f t="shared" si="41"/>
        <v>#REF!</v>
      </c>
      <c r="R98" s="283" t="e">
        <f t="shared" si="41"/>
        <v>#REF!</v>
      </c>
    </row>
    <row r="99" spans="1:18">
      <c r="A99" s="83" t="s">
        <v>78</v>
      </c>
      <c r="B99" s="321"/>
      <c r="C99" s="321" t="e">
        <f t="shared" ref="C99:R99" si="42">C72*1000/C91/C$2</f>
        <v>#REF!</v>
      </c>
      <c r="D99" s="321" t="e">
        <f t="shared" si="42"/>
        <v>#REF!</v>
      </c>
      <c r="E99" s="321" t="e">
        <f t="shared" si="42"/>
        <v>#REF!</v>
      </c>
      <c r="F99" s="321" t="e">
        <f t="shared" si="42"/>
        <v>#REF!</v>
      </c>
      <c r="G99" s="321" t="e">
        <f t="shared" si="42"/>
        <v>#REF!</v>
      </c>
      <c r="H99" s="321" t="e">
        <f t="shared" si="42"/>
        <v>#REF!</v>
      </c>
      <c r="I99" s="318" t="e">
        <f t="shared" si="42"/>
        <v>#REF!</v>
      </c>
      <c r="J99" s="321" t="e">
        <f t="shared" si="42"/>
        <v>#REF!</v>
      </c>
      <c r="K99" s="321" t="e">
        <f t="shared" si="42"/>
        <v>#REF!</v>
      </c>
      <c r="L99" s="321" t="e">
        <f t="shared" si="42"/>
        <v>#REF!</v>
      </c>
      <c r="M99" s="321" t="e">
        <f t="shared" si="42"/>
        <v>#REF!</v>
      </c>
      <c r="N99" s="321" t="e">
        <f t="shared" si="42"/>
        <v>#REF!</v>
      </c>
      <c r="O99" s="321" t="e">
        <f t="shared" si="42"/>
        <v>#REF!</v>
      </c>
      <c r="P99" s="321" t="e">
        <f t="shared" si="42"/>
        <v>#REF!</v>
      </c>
      <c r="Q99" s="321" t="e">
        <f t="shared" si="42"/>
        <v>#REF!</v>
      </c>
      <c r="R99" s="321" t="e">
        <f t="shared" si="42"/>
        <v>#REF!</v>
      </c>
    </row>
    <row r="101" spans="1:18">
      <c r="A101" s="319" t="s">
        <v>259</v>
      </c>
    </row>
    <row r="102" spans="1:18">
      <c r="A102" s="83" t="s">
        <v>81</v>
      </c>
      <c r="B102" s="283"/>
      <c r="C102" s="283" t="e">
        <f t="shared" ref="C102:R102" si="43">C67*1000/C87/C$2</f>
        <v>#REF!</v>
      </c>
      <c r="D102" s="283" t="e">
        <f t="shared" si="43"/>
        <v>#REF!</v>
      </c>
      <c r="E102" s="283" t="e">
        <f t="shared" si="43"/>
        <v>#REF!</v>
      </c>
      <c r="F102" s="283" t="e">
        <f t="shared" si="43"/>
        <v>#REF!</v>
      </c>
      <c r="G102" s="283" t="e">
        <f t="shared" si="43"/>
        <v>#REF!</v>
      </c>
      <c r="H102" s="283" t="e">
        <f t="shared" si="43"/>
        <v>#REF!</v>
      </c>
      <c r="I102" s="284" t="e">
        <f t="shared" si="43"/>
        <v>#REF!</v>
      </c>
      <c r="J102" s="283" t="e">
        <f t="shared" si="43"/>
        <v>#REF!</v>
      </c>
      <c r="K102" s="283" t="e">
        <f t="shared" si="43"/>
        <v>#REF!</v>
      </c>
      <c r="L102" s="283" t="e">
        <f t="shared" si="43"/>
        <v>#REF!</v>
      </c>
      <c r="M102" s="283" t="e">
        <f t="shared" si="43"/>
        <v>#REF!</v>
      </c>
      <c r="N102" s="283" t="e">
        <f t="shared" si="43"/>
        <v>#REF!</v>
      </c>
      <c r="O102" s="283" t="e">
        <f t="shared" si="43"/>
        <v>#REF!</v>
      </c>
      <c r="P102" s="283" t="e">
        <f t="shared" si="43"/>
        <v>#REF!</v>
      </c>
      <c r="Q102" s="283" t="e">
        <f t="shared" si="43"/>
        <v>#REF!</v>
      </c>
      <c r="R102" s="283" t="e">
        <f t="shared" si="43"/>
        <v>#REF!</v>
      </c>
    </row>
    <row r="103" spans="1:18">
      <c r="A103" s="83" t="s">
        <v>78</v>
      </c>
      <c r="B103" s="317"/>
      <c r="C103" s="317" t="e">
        <f t="shared" ref="C103:R103" si="44">C73*1000/C92/C$2</f>
        <v>#REF!</v>
      </c>
      <c r="D103" s="317" t="e">
        <f t="shared" si="44"/>
        <v>#REF!</v>
      </c>
      <c r="E103" s="317" t="e">
        <f t="shared" si="44"/>
        <v>#REF!</v>
      </c>
      <c r="F103" s="317" t="e">
        <f t="shared" si="44"/>
        <v>#REF!</v>
      </c>
      <c r="G103" s="317" t="e">
        <f t="shared" si="44"/>
        <v>#REF!</v>
      </c>
      <c r="H103" s="317" t="e">
        <f t="shared" si="44"/>
        <v>#REF!</v>
      </c>
      <c r="I103" s="320" t="e">
        <f t="shared" si="44"/>
        <v>#REF!</v>
      </c>
      <c r="J103" s="317" t="e">
        <f t="shared" si="44"/>
        <v>#REF!</v>
      </c>
      <c r="K103" s="317" t="e">
        <f t="shared" si="44"/>
        <v>#REF!</v>
      </c>
      <c r="L103" s="317" t="e">
        <f t="shared" si="44"/>
        <v>#REF!</v>
      </c>
      <c r="M103" s="317" t="e">
        <f t="shared" si="44"/>
        <v>#REF!</v>
      </c>
      <c r="N103" s="317" t="e">
        <f t="shared" si="44"/>
        <v>#REF!</v>
      </c>
      <c r="O103" s="317" t="e">
        <f t="shared" si="44"/>
        <v>#REF!</v>
      </c>
      <c r="P103" s="317" t="e">
        <f t="shared" si="44"/>
        <v>#REF!</v>
      </c>
      <c r="Q103" s="317" t="e">
        <f t="shared" si="44"/>
        <v>#REF!</v>
      </c>
      <c r="R103" s="317" t="e">
        <f t="shared" si="44"/>
        <v>#REF!</v>
      </c>
    </row>
    <row r="105" spans="1:18">
      <c r="A105" s="319" t="s">
        <v>263</v>
      </c>
    </row>
    <row r="106" spans="1:18">
      <c r="A106" s="83" t="s">
        <v>81</v>
      </c>
      <c r="B106" s="283"/>
      <c r="C106" s="283" t="e">
        <f>C68*1000/C88/C$2</f>
        <v>#REF!</v>
      </c>
      <c r="D106" s="283" t="e">
        <f t="shared" ref="D106:P106" si="45">D68*1000/D88/D$2</f>
        <v>#REF!</v>
      </c>
      <c r="E106" s="283" t="e">
        <f t="shared" si="45"/>
        <v>#REF!</v>
      </c>
      <c r="F106" s="283" t="e">
        <f t="shared" si="45"/>
        <v>#REF!</v>
      </c>
      <c r="G106" s="283" t="e">
        <f t="shared" si="45"/>
        <v>#REF!</v>
      </c>
      <c r="H106" s="283" t="e">
        <f t="shared" si="45"/>
        <v>#REF!</v>
      </c>
      <c r="I106" s="283" t="e">
        <f t="shared" si="45"/>
        <v>#REF!</v>
      </c>
      <c r="J106" s="283" t="e">
        <f t="shared" si="45"/>
        <v>#REF!</v>
      </c>
      <c r="K106" s="283" t="e">
        <f t="shared" si="45"/>
        <v>#REF!</v>
      </c>
      <c r="L106" s="283" t="e">
        <f t="shared" si="45"/>
        <v>#REF!</v>
      </c>
      <c r="M106" s="283" t="e">
        <f t="shared" si="45"/>
        <v>#REF!</v>
      </c>
      <c r="N106" s="283" t="e">
        <f t="shared" si="45"/>
        <v>#REF!</v>
      </c>
      <c r="O106" s="283" t="e">
        <f t="shared" si="45"/>
        <v>#REF!</v>
      </c>
      <c r="P106" s="283" t="e">
        <f t="shared" si="45"/>
        <v>#REF!</v>
      </c>
      <c r="Q106" s="283" t="e">
        <f>Q68*1000/Q88/Q$2</f>
        <v>#REF!</v>
      </c>
      <c r="R106" s="283" t="e">
        <f>R68*1000/R88/R$2</f>
        <v>#REF!</v>
      </c>
    </row>
    <row r="107" spans="1:18">
      <c r="A107" s="83" t="s">
        <v>78</v>
      </c>
      <c r="B107" s="317"/>
      <c r="C107" s="317" t="e">
        <f>C74*1000/C93/C$2</f>
        <v>#REF!</v>
      </c>
      <c r="D107" s="317" t="e">
        <f t="shared" ref="D107:P107" si="46">D74*1000/D93/D$2</f>
        <v>#REF!</v>
      </c>
      <c r="E107" s="317" t="e">
        <f t="shared" si="46"/>
        <v>#REF!</v>
      </c>
      <c r="F107" s="317" t="e">
        <f t="shared" si="46"/>
        <v>#REF!</v>
      </c>
      <c r="G107" s="317" t="e">
        <f t="shared" si="46"/>
        <v>#REF!</v>
      </c>
      <c r="H107" s="317" t="e">
        <f t="shared" si="46"/>
        <v>#REF!</v>
      </c>
      <c r="I107" s="317" t="e">
        <f t="shared" si="46"/>
        <v>#REF!</v>
      </c>
      <c r="J107" s="317" t="e">
        <f t="shared" si="46"/>
        <v>#REF!</v>
      </c>
      <c r="K107" s="317" t="e">
        <f t="shared" si="46"/>
        <v>#REF!</v>
      </c>
      <c r="L107" s="317" t="e">
        <f t="shared" si="46"/>
        <v>#REF!</v>
      </c>
      <c r="M107" s="317" t="e">
        <f t="shared" si="46"/>
        <v>#REF!</v>
      </c>
      <c r="N107" s="317" t="e">
        <f t="shared" si="46"/>
        <v>#REF!</v>
      </c>
      <c r="O107" s="317" t="e">
        <f t="shared" si="46"/>
        <v>#REF!</v>
      </c>
      <c r="P107" s="317" t="e">
        <f t="shared" si="46"/>
        <v>#REF!</v>
      </c>
      <c r="Q107" s="317" t="e">
        <f>Q74*1000/Q93/Q$2</f>
        <v>#REF!</v>
      </c>
      <c r="R107" s="317" t="e">
        <f>R74*1000/R93/R$2</f>
        <v>#REF!</v>
      </c>
    </row>
    <row r="109" spans="1:18">
      <c r="A109" s="316" t="s">
        <v>257</v>
      </c>
      <c r="B109" s="314"/>
      <c r="C109" s="314">
        <f t="shared" ref="C109:R109" si="47">C4</f>
        <v>2015</v>
      </c>
      <c r="D109" s="314">
        <f t="shared" si="47"/>
        <v>2016</v>
      </c>
      <c r="E109" s="314">
        <f t="shared" si="47"/>
        <v>2017</v>
      </c>
      <c r="F109" s="314">
        <f t="shared" si="47"/>
        <v>2018</v>
      </c>
      <c r="G109" s="314">
        <f t="shared" si="47"/>
        <v>2019</v>
      </c>
      <c r="H109" s="314">
        <f t="shared" si="47"/>
        <v>2020</v>
      </c>
      <c r="I109" s="315">
        <f t="shared" si="47"/>
        <v>2021</v>
      </c>
      <c r="J109" s="314">
        <f t="shared" si="47"/>
        <v>2022</v>
      </c>
      <c r="K109" s="314">
        <f t="shared" si="47"/>
        <v>2023</v>
      </c>
      <c r="L109" s="314">
        <f t="shared" si="47"/>
        <v>2024</v>
      </c>
      <c r="M109" s="314">
        <f t="shared" si="47"/>
        <v>2025</v>
      </c>
      <c r="N109" s="314">
        <f t="shared" si="47"/>
        <v>2026</v>
      </c>
      <c r="O109" s="314">
        <f t="shared" si="47"/>
        <v>2027</v>
      </c>
      <c r="P109" s="314">
        <f t="shared" si="47"/>
        <v>2028</v>
      </c>
      <c r="Q109" s="314">
        <f t="shared" si="47"/>
        <v>2029</v>
      </c>
      <c r="R109" s="314">
        <f t="shared" si="47"/>
        <v>2030</v>
      </c>
    </row>
    <row r="110" spans="1:18" ht="13.8" thickBot="1">
      <c r="A110" s="312">
        <v>1</v>
      </c>
      <c r="B110" s="312"/>
      <c r="C110" s="312">
        <f t="shared" ref="C110:R110" si="48">B110+1</f>
        <v>1</v>
      </c>
      <c r="D110" s="312">
        <f t="shared" si="48"/>
        <v>2</v>
      </c>
      <c r="E110" s="312">
        <f t="shared" si="48"/>
        <v>3</v>
      </c>
      <c r="F110" s="312">
        <f t="shared" si="48"/>
        <v>4</v>
      </c>
      <c r="G110" s="312">
        <f t="shared" si="48"/>
        <v>5</v>
      </c>
      <c r="H110" s="312">
        <f t="shared" si="48"/>
        <v>6</v>
      </c>
      <c r="I110" s="313">
        <f t="shared" si="48"/>
        <v>7</v>
      </c>
      <c r="J110" s="312">
        <f t="shared" si="48"/>
        <v>8</v>
      </c>
      <c r="K110" s="312">
        <f t="shared" si="48"/>
        <v>9</v>
      </c>
      <c r="L110" s="312">
        <f t="shared" si="48"/>
        <v>10</v>
      </c>
      <c r="M110" s="312">
        <f t="shared" si="48"/>
        <v>11</v>
      </c>
      <c r="N110" s="312">
        <f t="shared" si="48"/>
        <v>12</v>
      </c>
      <c r="O110" s="312">
        <f t="shared" si="48"/>
        <v>13</v>
      </c>
      <c r="P110" s="312">
        <f t="shared" si="48"/>
        <v>14</v>
      </c>
      <c r="Q110" s="312">
        <f t="shared" si="48"/>
        <v>15</v>
      </c>
      <c r="R110" s="312">
        <f t="shared" si="48"/>
        <v>16</v>
      </c>
    </row>
    <row r="111" spans="1:18" s="259" customFormat="1">
      <c r="A111" s="311"/>
      <c r="B111" s="309"/>
      <c r="C111" s="309"/>
      <c r="D111" s="309"/>
      <c r="E111" s="309"/>
      <c r="F111" s="309"/>
      <c r="G111" s="309"/>
      <c r="H111" s="309"/>
      <c r="I111" s="310"/>
      <c r="J111" s="309"/>
      <c r="K111" s="309"/>
      <c r="L111" s="309"/>
      <c r="M111" s="309"/>
      <c r="N111" s="309"/>
      <c r="O111" s="309"/>
      <c r="P111" s="309"/>
      <c r="Q111" s="309"/>
      <c r="R111" s="308"/>
    </row>
    <row r="112" spans="1:18" s="259" customFormat="1">
      <c r="A112" s="305" t="s">
        <v>272</v>
      </c>
      <c r="B112" s="295"/>
      <c r="C112" s="295"/>
      <c r="D112" s="295"/>
      <c r="E112" s="295"/>
      <c r="F112" s="295"/>
      <c r="G112" s="295"/>
      <c r="H112" s="295"/>
      <c r="I112" s="304"/>
      <c r="J112" s="295"/>
      <c r="K112" s="295"/>
      <c r="L112" s="295"/>
      <c r="M112" s="295"/>
      <c r="N112" s="295"/>
      <c r="O112" s="295"/>
      <c r="P112" s="295"/>
      <c r="Q112" s="295"/>
      <c r="R112" s="303"/>
    </row>
    <row r="113" spans="1:18" s="259" customFormat="1">
      <c r="A113" s="307" t="s">
        <v>260</v>
      </c>
      <c r="B113" s="289"/>
      <c r="C113" s="289" t="e">
        <f t="shared" ref="C113:R113" si="49">(C7-C53-C58)*1000/C86/C$2</f>
        <v>#REF!</v>
      </c>
      <c r="D113" s="289" t="e">
        <f t="shared" si="49"/>
        <v>#REF!</v>
      </c>
      <c r="E113" s="289" t="e">
        <f t="shared" si="49"/>
        <v>#REF!</v>
      </c>
      <c r="F113" s="289" t="e">
        <f t="shared" si="49"/>
        <v>#REF!</v>
      </c>
      <c r="G113" s="289" t="e">
        <f t="shared" si="49"/>
        <v>#REF!</v>
      </c>
      <c r="H113" s="289" t="e">
        <f t="shared" si="49"/>
        <v>#REF!</v>
      </c>
      <c r="I113" s="290" t="e">
        <f t="shared" si="49"/>
        <v>#REF!</v>
      </c>
      <c r="J113" s="289" t="e">
        <f t="shared" si="49"/>
        <v>#REF!</v>
      </c>
      <c r="K113" s="289" t="e">
        <f t="shared" si="49"/>
        <v>#REF!</v>
      </c>
      <c r="L113" s="289" t="e">
        <f t="shared" si="49"/>
        <v>#REF!</v>
      </c>
      <c r="M113" s="289" t="e">
        <f t="shared" si="49"/>
        <v>#REF!</v>
      </c>
      <c r="N113" s="289" t="e">
        <f t="shared" si="49"/>
        <v>#REF!</v>
      </c>
      <c r="O113" s="289" t="e">
        <f t="shared" si="49"/>
        <v>#REF!</v>
      </c>
      <c r="P113" s="289" t="e">
        <f t="shared" si="49"/>
        <v>#REF!</v>
      </c>
      <c r="Q113" s="289" t="e">
        <f t="shared" si="49"/>
        <v>#REF!</v>
      </c>
      <c r="R113" s="306" t="e">
        <f t="shared" si="49"/>
        <v>#REF!</v>
      </c>
    </row>
    <row r="114" spans="1:18" s="259" customFormat="1">
      <c r="A114" s="307" t="s">
        <v>259</v>
      </c>
      <c r="B114" s="289"/>
      <c r="C114" s="289" t="e">
        <f t="shared" ref="C114:R114" si="50">(C8-C54-C59)*1000/C87/C$2</f>
        <v>#REF!</v>
      </c>
      <c r="D114" s="289" t="e">
        <f t="shared" si="50"/>
        <v>#REF!</v>
      </c>
      <c r="E114" s="289" t="e">
        <f t="shared" si="50"/>
        <v>#REF!</v>
      </c>
      <c r="F114" s="289" t="e">
        <f t="shared" si="50"/>
        <v>#REF!</v>
      </c>
      <c r="G114" s="289" t="e">
        <f t="shared" si="50"/>
        <v>#REF!</v>
      </c>
      <c r="H114" s="289" t="e">
        <f t="shared" si="50"/>
        <v>#REF!</v>
      </c>
      <c r="I114" s="290" t="e">
        <f t="shared" si="50"/>
        <v>#REF!</v>
      </c>
      <c r="J114" s="289" t="e">
        <f t="shared" si="50"/>
        <v>#REF!</v>
      </c>
      <c r="K114" s="289" t="e">
        <f t="shared" si="50"/>
        <v>#REF!</v>
      </c>
      <c r="L114" s="289" t="e">
        <f t="shared" si="50"/>
        <v>#REF!</v>
      </c>
      <c r="M114" s="289" t="e">
        <f t="shared" si="50"/>
        <v>#REF!</v>
      </c>
      <c r="N114" s="289" t="e">
        <f t="shared" si="50"/>
        <v>#REF!</v>
      </c>
      <c r="O114" s="289" t="e">
        <f t="shared" si="50"/>
        <v>#REF!</v>
      </c>
      <c r="P114" s="289" t="e">
        <f t="shared" si="50"/>
        <v>#REF!</v>
      </c>
      <c r="Q114" s="289" t="e">
        <f t="shared" si="50"/>
        <v>#REF!</v>
      </c>
      <c r="R114" s="306" t="e">
        <f t="shared" si="50"/>
        <v>#REF!</v>
      </c>
    </row>
    <row r="115" spans="1:18" s="259" customFormat="1">
      <c r="A115" s="307" t="s">
        <v>263</v>
      </c>
      <c r="B115" s="289"/>
      <c r="C115" s="289" t="e">
        <f t="shared" ref="C115:R115" si="51">(C9-C55-C60)*1000/C88/C$2</f>
        <v>#REF!</v>
      </c>
      <c r="D115" s="289" t="e">
        <f t="shared" si="51"/>
        <v>#REF!</v>
      </c>
      <c r="E115" s="289" t="e">
        <f t="shared" si="51"/>
        <v>#REF!</v>
      </c>
      <c r="F115" s="289" t="e">
        <f t="shared" si="51"/>
        <v>#REF!</v>
      </c>
      <c r="G115" s="289" t="e">
        <f t="shared" si="51"/>
        <v>#REF!</v>
      </c>
      <c r="H115" s="289" t="e">
        <f t="shared" si="51"/>
        <v>#REF!</v>
      </c>
      <c r="I115" s="290" t="e">
        <f t="shared" si="51"/>
        <v>#REF!</v>
      </c>
      <c r="J115" s="289" t="e">
        <f t="shared" si="51"/>
        <v>#REF!</v>
      </c>
      <c r="K115" s="289" t="e">
        <f t="shared" si="51"/>
        <v>#REF!</v>
      </c>
      <c r="L115" s="289" t="e">
        <f t="shared" si="51"/>
        <v>#REF!</v>
      </c>
      <c r="M115" s="289" t="e">
        <f t="shared" si="51"/>
        <v>#REF!</v>
      </c>
      <c r="N115" s="289" t="e">
        <f t="shared" si="51"/>
        <v>#REF!</v>
      </c>
      <c r="O115" s="289" t="e">
        <f t="shared" si="51"/>
        <v>#REF!</v>
      </c>
      <c r="P115" s="289" t="e">
        <f t="shared" si="51"/>
        <v>#REF!</v>
      </c>
      <c r="Q115" s="289" t="e">
        <f t="shared" si="51"/>
        <v>#REF!</v>
      </c>
      <c r="R115" s="306" t="e">
        <f t="shared" si="51"/>
        <v>#REF!</v>
      </c>
    </row>
    <row r="116" spans="1:18" s="259" customFormat="1" outlineLevel="1">
      <c r="A116" s="305"/>
      <c r="B116" s="295"/>
      <c r="C116" s="295"/>
      <c r="D116" s="295"/>
      <c r="E116" s="295"/>
      <c r="F116" s="295"/>
      <c r="G116" s="295"/>
      <c r="H116" s="295"/>
      <c r="I116" s="304"/>
      <c r="J116" s="295"/>
      <c r="K116" s="295"/>
      <c r="L116" s="295"/>
      <c r="M116" s="295"/>
      <c r="N116" s="295"/>
      <c r="O116" s="295"/>
      <c r="P116" s="295"/>
      <c r="Q116" s="295"/>
      <c r="R116" s="303"/>
    </row>
    <row r="117" spans="1:18" s="259" customFormat="1" outlineLevel="1">
      <c r="A117" s="298" t="s">
        <v>271</v>
      </c>
      <c r="B117" s="301"/>
      <c r="C117" s="301"/>
      <c r="D117" s="301"/>
      <c r="E117" s="301"/>
      <c r="F117" s="301"/>
      <c r="G117" s="301"/>
      <c r="H117" s="301"/>
      <c r="I117" s="302"/>
      <c r="J117" s="301"/>
      <c r="K117" s="301"/>
      <c r="L117" s="301"/>
      <c r="M117" s="301"/>
      <c r="N117" s="301"/>
      <c r="O117" s="301"/>
      <c r="P117" s="301"/>
      <c r="Q117" s="301"/>
      <c r="R117" s="300"/>
    </row>
    <row r="118" spans="1:18" s="259" customFormat="1" outlineLevel="1">
      <c r="A118" s="298" t="s">
        <v>260</v>
      </c>
      <c r="B118" s="296"/>
      <c r="C118" s="296" t="e">
        <f t="shared" ref="C118:R118" si="52">C113*C86*C$2/1000000-(C7-C53-C58)/1000</f>
        <v>#REF!</v>
      </c>
      <c r="D118" s="296" t="e">
        <f t="shared" si="52"/>
        <v>#REF!</v>
      </c>
      <c r="E118" s="296" t="e">
        <f t="shared" si="52"/>
        <v>#REF!</v>
      </c>
      <c r="F118" s="296" t="e">
        <f t="shared" si="52"/>
        <v>#REF!</v>
      </c>
      <c r="G118" s="296" t="e">
        <f t="shared" si="52"/>
        <v>#REF!</v>
      </c>
      <c r="H118" s="296" t="e">
        <f t="shared" si="52"/>
        <v>#REF!</v>
      </c>
      <c r="I118" s="297" t="e">
        <f t="shared" si="52"/>
        <v>#REF!</v>
      </c>
      <c r="J118" s="296" t="e">
        <f t="shared" si="52"/>
        <v>#REF!</v>
      </c>
      <c r="K118" s="296" t="e">
        <f t="shared" si="52"/>
        <v>#REF!</v>
      </c>
      <c r="L118" s="296" t="e">
        <f t="shared" si="52"/>
        <v>#REF!</v>
      </c>
      <c r="M118" s="296" t="e">
        <f t="shared" si="52"/>
        <v>#REF!</v>
      </c>
      <c r="N118" s="296" t="e">
        <f t="shared" si="52"/>
        <v>#REF!</v>
      </c>
      <c r="O118" s="296" t="e">
        <f t="shared" si="52"/>
        <v>#REF!</v>
      </c>
      <c r="P118" s="296" t="e">
        <f t="shared" si="52"/>
        <v>#REF!</v>
      </c>
      <c r="Q118" s="296" t="e">
        <f t="shared" si="52"/>
        <v>#REF!</v>
      </c>
      <c r="R118" s="299" t="e">
        <f t="shared" si="52"/>
        <v>#REF!</v>
      </c>
    </row>
    <row r="119" spans="1:18" s="259" customFormat="1" outlineLevel="1">
      <c r="A119" s="298" t="s">
        <v>259</v>
      </c>
      <c r="B119" s="296"/>
      <c r="C119" s="296" t="e">
        <f t="shared" ref="C119:R119" si="53">C114*C87*C$2/1000000-(C8-C54-C59)/1000</f>
        <v>#REF!</v>
      </c>
      <c r="D119" s="296" t="e">
        <f t="shared" si="53"/>
        <v>#REF!</v>
      </c>
      <c r="E119" s="296" t="e">
        <f t="shared" si="53"/>
        <v>#REF!</v>
      </c>
      <c r="F119" s="296" t="e">
        <f t="shared" si="53"/>
        <v>#REF!</v>
      </c>
      <c r="G119" s="296" t="e">
        <f t="shared" si="53"/>
        <v>#REF!</v>
      </c>
      <c r="H119" s="296" t="e">
        <f t="shared" si="53"/>
        <v>#REF!</v>
      </c>
      <c r="I119" s="297" t="e">
        <f t="shared" si="53"/>
        <v>#REF!</v>
      </c>
      <c r="J119" s="296" t="e">
        <f t="shared" si="53"/>
        <v>#REF!</v>
      </c>
      <c r="K119" s="296" t="e">
        <f t="shared" si="53"/>
        <v>#REF!</v>
      </c>
      <c r="L119" s="296" t="e">
        <f t="shared" si="53"/>
        <v>#REF!</v>
      </c>
      <c r="M119" s="296" t="e">
        <f t="shared" si="53"/>
        <v>#REF!</v>
      </c>
      <c r="N119" s="296" t="e">
        <f t="shared" si="53"/>
        <v>#REF!</v>
      </c>
      <c r="O119" s="296" t="e">
        <f t="shared" si="53"/>
        <v>#REF!</v>
      </c>
      <c r="P119" s="296" t="e">
        <f t="shared" si="53"/>
        <v>#REF!</v>
      </c>
      <c r="Q119" s="296" t="e">
        <f t="shared" si="53"/>
        <v>#REF!</v>
      </c>
      <c r="R119" s="299" t="e">
        <f t="shared" si="53"/>
        <v>#REF!</v>
      </c>
    </row>
    <row r="120" spans="1:18" s="259" customFormat="1" outlineLevel="1">
      <c r="A120" s="298" t="s">
        <v>263</v>
      </c>
      <c r="B120" s="296"/>
      <c r="C120" s="296" t="e">
        <f t="shared" ref="C120:R120" si="54">C115*C88*C$2/1000000-(C9-C55-C60)/1000</f>
        <v>#REF!</v>
      </c>
      <c r="D120" s="296" t="e">
        <f t="shared" si="54"/>
        <v>#REF!</v>
      </c>
      <c r="E120" s="296" t="e">
        <f t="shared" si="54"/>
        <v>#REF!</v>
      </c>
      <c r="F120" s="296" t="e">
        <f t="shared" si="54"/>
        <v>#REF!</v>
      </c>
      <c r="G120" s="296" t="e">
        <f t="shared" si="54"/>
        <v>#REF!</v>
      </c>
      <c r="H120" s="296" t="e">
        <f t="shared" si="54"/>
        <v>#REF!</v>
      </c>
      <c r="I120" s="297" t="e">
        <f t="shared" si="54"/>
        <v>#REF!</v>
      </c>
      <c r="J120" s="296" t="e">
        <f t="shared" si="54"/>
        <v>#REF!</v>
      </c>
      <c r="K120" s="296" t="e">
        <f t="shared" si="54"/>
        <v>#REF!</v>
      </c>
      <c r="L120" s="296" t="e">
        <f t="shared" si="54"/>
        <v>#REF!</v>
      </c>
      <c r="M120" s="296" t="e">
        <f t="shared" si="54"/>
        <v>#REF!</v>
      </c>
      <c r="N120" s="296" t="e">
        <f t="shared" si="54"/>
        <v>#REF!</v>
      </c>
      <c r="O120" s="296" t="e">
        <f t="shared" si="54"/>
        <v>#REF!</v>
      </c>
      <c r="P120" s="296" t="e">
        <f t="shared" si="54"/>
        <v>#REF!</v>
      </c>
      <c r="Q120" s="296" t="e">
        <f t="shared" si="54"/>
        <v>#REF!</v>
      </c>
      <c r="R120" s="299" t="e">
        <f t="shared" si="54"/>
        <v>#REF!</v>
      </c>
    </row>
    <row r="121" spans="1:18" s="259" customFormat="1">
      <c r="A121" s="298"/>
      <c r="B121" s="296"/>
      <c r="C121" s="296"/>
      <c r="D121" s="296"/>
      <c r="E121" s="296"/>
      <c r="F121" s="296"/>
      <c r="G121" s="296"/>
      <c r="H121" s="296"/>
      <c r="I121" s="297"/>
      <c r="J121" s="296"/>
      <c r="K121" s="296"/>
      <c r="L121" s="296"/>
      <c r="M121" s="296"/>
      <c r="N121" s="296"/>
      <c r="O121" s="296"/>
      <c r="P121" s="296"/>
      <c r="Q121" s="296"/>
      <c r="R121" s="296"/>
    </row>
    <row r="122" spans="1:18" s="259" customFormat="1">
      <c r="A122" s="262" t="s">
        <v>270</v>
      </c>
      <c r="B122" s="295"/>
      <c r="C122" s="295"/>
      <c r="D122" s="295"/>
      <c r="E122" s="295"/>
      <c r="F122" s="295"/>
      <c r="G122" s="295"/>
      <c r="H122" s="295"/>
      <c r="I122" s="294"/>
      <c r="J122" s="293"/>
      <c r="K122" s="293"/>
      <c r="L122" s="293"/>
      <c r="M122" s="293"/>
      <c r="N122" s="293"/>
      <c r="O122" s="293"/>
      <c r="P122" s="293"/>
      <c r="Q122" s="293"/>
      <c r="R122" s="292"/>
    </row>
    <row r="123" spans="1:18">
      <c r="A123" s="261" t="e">
        <f>#REF!</f>
        <v>#REF!</v>
      </c>
      <c r="B123" s="289"/>
      <c r="C123" s="289" t="e">
        <f>IF(#REF!&gt;0,'Segmented SAUC'!C$98)+'Segmented SAUC'!C$99*#REF!+IF(#REF!&gt;0,'Segmented SAUC'!C$102)+'Segmented SAUC'!C$103*#REF!+IF(#REF!&gt;0,'Segmented SAUC'!C$106)+'Segmented SAUC'!C$107*#REF!</f>
        <v>#REF!</v>
      </c>
      <c r="D123" s="289" t="e">
        <f>IF(#REF!&gt;0,'Segmented SAUC'!D$98)+'Segmented SAUC'!D$99*#REF!+IF(#REF!&gt;0,'Segmented SAUC'!D$102)+'Segmented SAUC'!D$103*#REF!+IF(#REF!&gt;0,'Segmented SAUC'!D$106)+'Segmented SAUC'!D$107*#REF!</f>
        <v>#REF!</v>
      </c>
      <c r="E123" s="289" t="e">
        <f>IF(#REF!&gt;0,'Segmented SAUC'!E$98)+'Segmented SAUC'!E$99*#REF!+IF(#REF!&gt;0,'Segmented SAUC'!E$102)+'Segmented SAUC'!E$103*#REF!+IF(#REF!&gt;0,'Segmented SAUC'!E$106)+'Segmented SAUC'!E$107*#REF!</f>
        <v>#REF!</v>
      </c>
      <c r="F123" s="289" t="e">
        <f>IF(#REF!&gt;0,'Segmented SAUC'!F$98)+'Segmented SAUC'!F$99*#REF!+IF(#REF!&gt;0,'Segmented SAUC'!F$102)+'Segmented SAUC'!F$103*#REF!+IF(#REF!&gt;0,'Segmented SAUC'!F$106)+'Segmented SAUC'!F$107*#REF!</f>
        <v>#REF!</v>
      </c>
      <c r="G123" s="289" t="e">
        <f>IF(#REF!&gt;0,'Segmented SAUC'!G$98)+'Segmented SAUC'!G$99*#REF!+IF(#REF!&gt;0,'Segmented SAUC'!G$102)+'Segmented SAUC'!G$103*#REF!+IF(#REF!&gt;0,'Segmented SAUC'!G$106)+'Segmented SAUC'!G$107*#REF!</f>
        <v>#REF!</v>
      </c>
      <c r="H123" s="289" t="e">
        <f>IF(#REF!&gt;0,'Segmented SAUC'!H$98)+'Segmented SAUC'!H$99*#REF!+IF(#REF!&gt;0,'Segmented SAUC'!H$102)+'Segmented SAUC'!H$103*#REF!+IF(#REF!&gt;0,'Segmented SAUC'!H$106)+'Segmented SAUC'!H$107*#REF!</f>
        <v>#REF!</v>
      </c>
      <c r="I123" s="290" t="e">
        <f>IF(#REF!&gt;0,'Segmented SAUC'!I$98)+'Segmented SAUC'!I$99*#REF!+IF(#REF!&gt;0,'Segmented SAUC'!I$102)+'Segmented SAUC'!I$103*#REF!+IF(#REF!&gt;0,'Segmented SAUC'!I$106)+'Segmented SAUC'!I$107*#REF!</f>
        <v>#REF!</v>
      </c>
      <c r="J123" s="289" t="e">
        <f>IF(#REF!&gt;0,'Segmented SAUC'!J$98)+'Segmented SAUC'!J$99*#REF!+IF(#REF!&gt;0,'Segmented SAUC'!J$102)+'Segmented SAUC'!J$103*#REF!+IF(#REF!&gt;0,'Segmented SAUC'!J$106)+'Segmented SAUC'!J$107*#REF!</f>
        <v>#REF!</v>
      </c>
      <c r="K123" s="289" t="e">
        <f>IF(#REF!&gt;0,'Segmented SAUC'!K$98)+'Segmented SAUC'!K$99*#REF!+IF(#REF!&gt;0,'Segmented SAUC'!K$102)+'Segmented SAUC'!K$103*#REF!+IF(#REF!&gt;0,'Segmented SAUC'!K$106)+'Segmented SAUC'!K$107*#REF!</f>
        <v>#REF!</v>
      </c>
      <c r="L123" s="289" t="e">
        <f>IF(#REF!&gt;0,'Segmented SAUC'!L$98)+'Segmented SAUC'!L$99*#REF!+IF(#REF!&gt;0,'Segmented SAUC'!L$102)+'Segmented SAUC'!L$103*#REF!+IF(#REF!&gt;0,'Segmented SAUC'!L$106)+'Segmented SAUC'!L$107*#REF!</f>
        <v>#REF!</v>
      </c>
      <c r="M123" s="289" t="e">
        <f>IF(#REF!&gt;0,'Segmented SAUC'!M$98)+'Segmented SAUC'!M$99*#REF!+IF(#REF!&gt;0,'Segmented SAUC'!M$102)+'Segmented SAUC'!M$103*#REF!+IF(#REF!&gt;0,'Segmented SAUC'!M$106)+'Segmented SAUC'!M$107*#REF!</f>
        <v>#REF!</v>
      </c>
      <c r="N123" s="289" t="e">
        <f>IF(#REF!&gt;0,'Segmented SAUC'!N$98)+'Segmented SAUC'!N$99*#REF!+IF(#REF!&gt;0,'Segmented SAUC'!N$102)+'Segmented SAUC'!N$103*#REF!+IF(#REF!&gt;0,'Segmented SAUC'!N$106)+'Segmented SAUC'!N$107*#REF!</f>
        <v>#REF!</v>
      </c>
      <c r="O123" s="289" t="e">
        <f>IF(#REF!&gt;0,'Segmented SAUC'!O$98)+'Segmented SAUC'!O$99*#REF!+IF(#REF!&gt;0,'Segmented SAUC'!O$102)+'Segmented SAUC'!O$103*#REF!+IF(#REF!&gt;0,'Segmented SAUC'!O$106)+'Segmented SAUC'!O$107*#REF!</f>
        <v>#REF!</v>
      </c>
      <c r="P123" s="289" t="e">
        <f>IF(#REF!&gt;0,'Segmented SAUC'!P$98)+'Segmented SAUC'!P$99*#REF!+IF(#REF!&gt;0,'Segmented SAUC'!P$102)+'Segmented SAUC'!P$103*#REF!+IF(#REF!&gt;0,'Segmented SAUC'!P$106)+'Segmented SAUC'!P$107*#REF!</f>
        <v>#REF!</v>
      </c>
      <c r="Q123" s="289" t="e">
        <f>IF(#REF!&gt;0,'Segmented SAUC'!Q$98)+'Segmented SAUC'!Q$99*#REF!+IF(#REF!&gt;0,'Segmented SAUC'!Q$102)+'Segmented SAUC'!Q$103*#REF!+IF(#REF!&gt;0,'Segmented SAUC'!Q$106)+'Segmented SAUC'!Q$107*#REF!</f>
        <v>#REF!</v>
      </c>
      <c r="R123" s="289" t="e">
        <f>IF(#REF!&gt;0,'Segmented SAUC'!R$98)+'Segmented SAUC'!R$99*#REF!+IF(#REF!&gt;0,'Segmented SAUC'!R$102)+'Segmented SAUC'!R$103*#REF!+IF(#REF!&gt;0,'Segmented SAUC'!R$106)+'Segmented SAUC'!R$107*#REF!</f>
        <v>#REF!</v>
      </c>
    </row>
    <row r="124" spans="1:18">
      <c r="A124" s="261" t="e">
        <f>#REF!</f>
        <v>#REF!</v>
      </c>
      <c r="B124" s="289"/>
      <c r="C124" s="289" t="e">
        <f>IF(#REF!&gt;0,'Segmented SAUC'!C$98)+'Segmented SAUC'!C$99*#REF!+IF(#REF!&gt;0,'Segmented SAUC'!C$102)+'Segmented SAUC'!C$103*#REF!+IF(#REF!&gt;0,'Segmented SAUC'!C$106)+'Segmented SAUC'!C$107*#REF!</f>
        <v>#REF!</v>
      </c>
      <c r="D124" s="289" t="e">
        <f>IF(#REF!&gt;0,'Segmented SAUC'!D$98)+'Segmented SAUC'!D$99*#REF!+IF(#REF!&gt;0,'Segmented SAUC'!D$102)+'Segmented SAUC'!D$103*#REF!+IF(#REF!&gt;0,'Segmented SAUC'!D$106)+'Segmented SAUC'!D$107*#REF!</f>
        <v>#REF!</v>
      </c>
      <c r="E124" s="289" t="e">
        <f>IF(#REF!&gt;0,'Segmented SAUC'!E$98)+'Segmented SAUC'!E$99*#REF!+IF(#REF!&gt;0,'Segmented SAUC'!E$102)+'Segmented SAUC'!E$103*#REF!+IF(#REF!&gt;0,'Segmented SAUC'!E$106)+'Segmented SAUC'!E$107*#REF!</f>
        <v>#REF!</v>
      </c>
      <c r="F124" s="289" t="e">
        <f>IF(#REF!&gt;0,'Segmented SAUC'!F$98)+'Segmented SAUC'!F$99*#REF!+IF(#REF!&gt;0,'Segmented SAUC'!F$102)+'Segmented SAUC'!F$103*#REF!+IF(#REF!&gt;0,'Segmented SAUC'!F$106)+'Segmented SAUC'!F$107*#REF!</f>
        <v>#REF!</v>
      </c>
      <c r="G124" s="289" t="e">
        <f>IF(#REF!&gt;0,'Segmented SAUC'!G$98)+'Segmented SAUC'!G$99*#REF!+IF(#REF!&gt;0,'Segmented SAUC'!G$102)+'Segmented SAUC'!G$103*#REF!+IF(#REF!&gt;0,'Segmented SAUC'!G$106)+'Segmented SAUC'!G$107*#REF!</f>
        <v>#REF!</v>
      </c>
      <c r="H124" s="289" t="e">
        <f>IF(#REF!&gt;0,'Segmented SAUC'!H$98)+'Segmented SAUC'!H$99*#REF!+IF(#REF!&gt;0,'Segmented SAUC'!H$102)+'Segmented SAUC'!H$103*#REF!+IF(#REF!&gt;0,'Segmented SAUC'!H$106)+'Segmented SAUC'!H$107*#REF!</f>
        <v>#REF!</v>
      </c>
      <c r="I124" s="290" t="e">
        <f>IF(#REF!&gt;0,'Segmented SAUC'!I$98)+'Segmented SAUC'!I$99*#REF!+IF(#REF!&gt;0,'Segmented SAUC'!I$102)+'Segmented SAUC'!I$103*#REF!+IF(#REF!&gt;0,'Segmented SAUC'!I$106)+'Segmented SAUC'!I$107*#REF!</f>
        <v>#REF!</v>
      </c>
      <c r="J124" s="289" t="e">
        <f>IF(#REF!&gt;0,'Segmented SAUC'!J$98)+'Segmented SAUC'!J$99*#REF!+IF(#REF!&gt;0,'Segmented SAUC'!J$102)+'Segmented SAUC'!J$103*#REF!+IF(#REF!&gt;0,'Segmented SAUC'!J$106)+'Segmented SAUC'!J$107*#REF!</f>
        <v>#REF!</v>
      </c>
      <c r="K124" s="289" t="e">
        <f>IF(#REF!&gt;0,'Segmented SAUC'!K$98)+'Segmented SAUC'!K$99*#REF!+IF(#REF!&gt;0,'Segmented SAUC'!K$102)+'Segmented SAUC'!K$103*#REF!+IF(#REF!&gt;0,'Segmented SAUC'!K$106)+'Segmented SAUC'!K$107*#REF!</f>
        <v>#REF!</v>
      </c>
      <c r="L124" s="289" t="e">
        <f>IF(#REF!&gt;0,'Segmented SAUC'!L$98)+'Segmented SAUC'!L$99*#REF!+IF(#REF!&gt;0,'Segmented SAUC'!L$102)+'Segmented SAUC'!L$103*#REF!+IF(#REF!&gt;0,'Segmented SAUC'!L$106)+'Segmented SAUC'!L$107*#REF!</f>
        <v>#REF!</v>
      </c>
      <c r="M124" s="289" t="e">
        <f>IF(#REF!&gt;0,'Segmented SAUC'!M$98)+'Segmented SAUC'!M$99*#REF!+IF(#REF!&gt;0,'Segmented SAUC'!M$102)+'Segmented SAUC'!M$103*#REF!+IF(#REF!&gt;0,'Segmented SAUC'!M$106)+'Segmented SAUC'!M$107*#REF!</f>
        <v>#REF!</v>
      </c>
      <c r="N124" s="289" t="e">
        <f>IF(#REF!&gt;0,'Segmented SAUC'!N$98)+'Segmented SAUC'!N$99*#REF!+IF(#REF!&gt;0,'Segmented SAUC'!N$102)+'Segmented SAUC'!N$103*#REF!+IF(#REF!&gt;0,'Segmented SAUC'!N$106)+'Segmented SAUC'!N$107*#REF!</f>
        <v>#REF!</v>
      </c>
      <c r="O124" s="289" t="e">
        <f>IF(#REF!&gt;0,'Segmented SAUC'!O$98)+'Segmented SAUC'!O$99*#REF!+IF(#REF!&gt;0,'Segmented SAUC'!O$102)+'Segmented SAUC'!O$103*#REF!+IF(#REF!&gt;0,'Segmented SAUC'!O$106)+'Segmented SAUC'!O$107*#REF!</f>
        <v>#REF!</v>
      </c>
      <c r="P124" s="289" t="e">
        <f>IF(#REF!&gt;0,'Segmented SAUC'!P$98)+'Segmented SAUC'!P$99*#REF!+IF(#REF!&gt;0,'Segmented SAUC'!P$102)+'Segmented SAUC'!P$103*#REF!+IF(#REF!&gt;0,'Segmented SAUC'!P$106)+'Segmented SAUC'!P$107*#REF!</f>
        <v>#REF!</v>
      </c>
      <c r="Q124" s="289" t="e">
        <f>IF(#REF!&gt;0,'Segmented SAUC'!Q$98)+'Segmented SAUC'!Q$99*#REF!+IF(#REF!&gt;0,'Segmented SAUC'!Q$102)+'Segmented SAUC'!Q$103*#REF!+IF(#REF!&gt;0,'Segmented SAUC'!Q$106)+'Segmented SAUC'!Q$107*#REF!</f>
        <v>#REF!</v>
      </c>
      <c r="R124" s="289" t="e">
        <f>IF(#REF!&gt;0,'Segmented SAUC'!R$98)+'Segmented SAUC'!R$99*#REF!+IF(#REF!&gt;0,'Segmented SAUC'!R$102)+'Segmented SAUC'!R$103*#REF!+IF(#REF!&gt;0,'Segmented SAUC'!R$106)+'Segmented SAUC'!R$107*#REF!</f>
        <v>#REF!</v>
      </c>
    </row>
    <row r="125" spans="1:18">
      <c r="A125" s="261" t="e">
        <f>#REF!</f>
        <v>#REF!</v>
      </c>
      <c r="B125" s="289"/>
      <c r="C125" s="289" t="e">
        <f>IF(#REF!&gt;0,'Segmented SAUC'!C$98)+'Segmented SAUC'!C$99*#REF!+IF(#REF!&gt;0,'Segmented SAUC'!C$102)+'Segmented SAUC'!C$103*#REF!+IF(#REF!&gt;0,'Segmented SAUC'!C$106)+'Segmented SAUC'!C$107*#REF!</f>
        <v>#REF!</v>
      </c>
      <c r="D125" s="289" t="e">
        <f>IF(#REF!&gt;0,'Segmented SAUC'!D$98)+'Segmented SAUC'!D$99*#REF!+IF(#REF!&gt;0,'Segmented SAUC'!D$102)+'Segmented SAUC'!D$103*#REF!+IF(#REF!&gt;0,'Segmented SAUC'!D$106)+'Segmented SAUC'!D$107*#REF!</f>
        <v>#REF!</v>
      </c>
      <c r="E125" s="289" t="e">
        <f>IF(#REF!&gt;0,'Segmented SAUC'!E$98)+'Segmented SAUC'!E$99*#REF!+IF(#REF!&gt;0,'Segmented SAUC'!E$102)+'Segmented SAUC'!E$103*#REF!+IF(#REF!&gt;0,'Segmented SAUC'!E$106)+'Segmented SAUC'!E$107*#REF!</f>
        <v>#REF!</v>
      </c>
      <c r="F125" s="289" t="e">
        <f>IF(#REF!&gt;0,'Segmented SAUC'!F$98)+'Segmented SAUC'!F$99*#REF!+IF(#REF!&gt;0,'Segmented SAUC'!F$102)+'Segmented SAUC'!F$103*#REF!+IF(#REF!&gt;0,'Segmented SAUC'!F$106)+'Segmented SAUC'!F$107*#REF!</f>
        <v>#REF!</v>
      </c>
      <c r="G125" s="289" t="e">
        <f>IF(#REF!&gt;0,'Segmented SAUC'!G$98)+'Segmented SAUC'!G$99*#REF!+IF(#REF!&gt;0,'Segmented SAUC'!G$102)+'Segmented SAUC'!G$103*#REF!+IF(#REF!&gt;0,'Segmented SAUC'!G$106)+'Segmented SAUC'!G$107*#REF!</f>
        <v>#REF!</v>
      </c>
      <c r="H125" s="289" t="e">
        <f>IF(#REF!&gt;0,'Segmented SAUC'!H$98)+'Segmented SAUC'!H$99*#REF!+IF(#REF!&gt;0,'Segmented SAUC'!H$102)+'Segmented SAUC'!H$103*#REF!+IF(#REF!&gt;0,'Segmented SAUC'!H$106)+'Segmented SAUC'!H$107*#REF!</f>
        <v>#REF!</v>
      </c>
      <c r="I125" s="290" t="e">
        <f>IF(#REF!&gt;0,'Segmented SAUC'!I$98)+'Segmented SAUC'!I$99*#REF!+IF(#REF!&gt;0,'Segmented SAUC'!I$102)+'Segmented SAUC'!I$103*#REF!+IF(#REF!&gt;0,'Segmented SAUC'!I$106)+'Segmented SAUC'!I$107*#REF!</f>
        <v>#REF!</v>
      </c>
      <c r="J125" s="289" t="e">
        <f>IF(#REF!&gt;0,'Segmented SAUC'!J$98)+'Segmented SAUC'!J$99*#REF!+IF(#REF!&gt;0,'Segmented SAUC'!J$102)+'Segmented SAUC'!J$103*#REF!+IF(#REF!&gt;0,'Segmented SAUC'!J$106)+'Segmented SAUC'!J$107*#REF!</f>
        <v>#REF!</v>
      </c>
      <c r="K125" s="289" t="e">
        <f>IF(#REF!&gt;0,'Segmented SAUC'!K$98)+'Segmented SAUC'!K$99*#REF!+IF(#REF!&gt;0,'Segmented SAUC'!K$102)+'Segmented SAUC'!K$103*#REF!+IF(#REF!&gt;0,'Segmented SAUC'!K$106)+'Segmented SAUC'!K$107*#REF!</f>
        <v>#REF!</v>
      </c>
      <c r="L125" s="289" t="e">
        <f>IF(#REF!&gt;0,'Segmented SAUC'!L$98)+'Segmented SAUC'!L$99*#REF!+IF(#REF!&gt;0,'Segmented SAUC'!L$102)+'Segmented SAUC'!L$103*#REF!+IF(#REF!&gt;0,'Segmented SAUC'!L$106)+'Segmented SAUC'!L$107*#REF!</f>
        <v>#REF!</v>
      </c>
      <c r="M125" s="289" t="e">
        <f>IF(#REF!&gt;0,'Segmented SAUC'!M$98)+'Segmented SAUC'!M$99*#REF!+IF(#REF!&gt;0,'Segmented SAUC'!M$102)+'Segmented SAUC'!M$103*#REF!+IF(#REF!&gt;0,'Segmented SAUC'!M$106)+'Segmented SAUC'!M$107*#REF!</f>
        <v>#REF!</v>
      </c>
      <c r="N125" s="289" t="e">
        <f>IF(#REF!&gt;0,'Segmented SAUC'!N$98)+'Segmented SAUC'!N$99*#REF!+IF(#REF!&gt;0,'Segmented SAUC'!N$102)+'Segmented SAUC'!N$103*#REF!+IF(#REF!&gt;0,'Segmented SAUC'!N$106)+'Segmented SAUC'!N$107*#REF!</f>
        <v>#REF!</v>
      </c>
      <c r="O125" s="289" t="e">
        <f>IF(#REF!&gt;0,'Segmented SAUC'!O$98)+'Segmented SAUC'!O$99*#REF!+IF(#REF!&gt;0,'Segmented SAUC'!O$102)+'Segmented SAUC'!O$103*#REF!+IF(#REF!&gt;0,'Segmented SAUC'!O$106)+'Segmented SAUC'!O$107*#REF!</f>
        <v>#REF!</v>
      </c>
      <c r="P125" s="289" t="e">
        <f>IF(#REF!&gt;0,'Segmented SAUC'!P$98)+'Segmented SAUC'!P$99*#REF!+IF(#REF!&gt;0,'Segmented SAUC'!P$102)+'Segmented SAUC'!P$103*#REF!+IF(#REF!&gt;0,'Segmented SAUC'!P$106)+'Segmented SAUC'!P$107*#REF!</f>
        <v>#REF!</v>
      </c>
      <c r="Q125" s="289" t="e">
        <f>IF(#REF!&gt;0,'Segmented SAUC'!Q$98)+'Segmented SAUC'!Q$99*#REF!+IF(#REF!&gt;0,'Segmented SAUC'!Q$102)+'Segmented SAUC'!Q$103*#REF!+IF(#REF!&gt;0,'Segmented SAUC'!Q$106)+'Segmented SAUC'!Q$107*#REF!</f>
        <v>#REF!</v>
      </c>
      <c r="R125" s="289" t="e">
        <f>IF(#REF!&gt;0,'Segmented SAUC'!R$98)+'Segmented SAUC'!R$99*#REF!+IF(#REF!&gt;0,'Segmented SAUC'!R$102)+'Segmented SAUC'!R$103*#REF!+IF(#REF!&gt;0,'Segmented SAUC'!R$106)+'Segmented SAUC'!R$107*#REF!</f>
        <v>#REF!</v>
      </c>
    </row>
    <row r="126" spans="1:18">
      <c r="A126" s="261" t="e">
        <f>#REF!</f>
        <v>#REF!</v>
      </c>
      <c r="B126" s="289"/>
      <c r="C126" s="289" t="e">
        <f>IF(#REF!&gt;0,'Segmented SAUC'!C$98)+'Segmented SAUC'!C$99*#REF!+IF(#REF!&gt;0,'Segmented SAUC'!C$102)+'Segmented SAUC'!C$103*#REF!+IF(#REF!&gt;0,'Segmented SAUC'!C$106)+'Segmented SAUC'!C$107*#REF!</f>
        <v>#REF!</v>
      </c>
      <c r="D126" s="289" t="e">
        <f>IF(#REF!&gt;0,'Segmented SAUC'!D$98)+'Segmented SAUC'!D$99*#REF!+IF(#REF!&gt;0,'Segmented SAUC'!D$102)+'Segmented SAUC'!D$103*#REF!+IF(#REF!&gt;0,'Segmented SAUC'!D$106)+'Segmented SAUC'!D$107*#REF!</f>
        <v>#REF!</v>
      </c>
      <c r="E126" s="289" t="e">
        <f>IF(#REF!&gt;0,'Segmented SAUC'!E$98)+'Segmented SAUC'!E$99*#REF!+IF(#REF!&gt;0,'Segmented SAUC'!E$102)+'Segmented SAUC'!E$103*#REF!+IF(#REF!&gt;0,'Segmented SAUC'!E$106)+'Segmented SAUC'!E$107*#REF!</f>
        <v>#REF!</v>
      </c>
      <c r="F126" s="289" t="e">
        <f>IF(#REF!&gt;0,'Segmented SAUC'!F$98)+'Segmented SAUC'!F$99*#REF!+IF(#REF!&gt;0,'Segmented SAUC'!F$102)+'Segmented SAUC'!F$103*#REF!+IF(#REF!&gt;0,'Segmented SAUC'!F$106)+'Segmented SAUC'!F$107*#REF!</f>
        <v>#REF!</v>
      </c>
      <c r="G126" s="289" t="e">
        <f>IF(#REF!&gt;0,'Segmented SAUC'!G$98)+'Segmented SAUC'!G$99*#REF!+IF(#REF!&gt;0,'Segmented SAUC'!G$102)+'Segmented SAUC'!G$103*#REF!+IF(#REF!&gt;0,'Segmented SAUC'!G$106)+'Segmented SAUC'!G$107*#REF!</f>
        <v>#REF!</v>
      </c>
      <c r="H126" s="289" t="e">
        <f>IF(#REF!&gt;0,'Segmented SAUC'!H$98)+'Segmented SAUC'!H$99*#REF!+IF(#REF!&gt;0,'Segmented SAUC'!H$102)+'Segmented SAUC'!H$103*#REF!+IF(#REF!&gt;0,'Segmented SAUC'!H$106)+'Segmented SAUC'!H$107*#REF!</f>
        <v>#REF!</v>
      </c>
      <c r="I126" s="290" t="e">
        <f>IF(#REF!&gt;0,'Segmented SAUC'!I$98)+'Segmented SAUC'!I$99*#REF!+IF(#REF!&gt;0,'Segmented SAUC'!I$102)+'Segmented SAUC'!I$103*#REF!+IF(#REF!&gt;0,'Segmented SAUC'!I$106)+'Segmented SAUC'!I$107*#REF!</f>
        <v>#REF!</v>
      </c>
      <c r="J126" s="289" t="e">
        <f>IF(#REF!&gt;0,'Segmented SAUC'!J$98)+'Segmented SAUC'!J$99*#REF!+IF(#REF!&gt;0,'Segmented SAUC'!J$102)+'Segmented SAUC'!J$103*#REF!+IF(#REF!&gt;0,'Segmented SAUC'!J$106)+'Segmented SAUC'!J$107*#REF!</f>
        <v>#REF!</v>
      </c>
      <c r="K126" s="289" t="e">
        <f>IF(#REF!&gt;0,'Segmented SAUC'!K$98)+'Segmented SAUC'!K$99*#REF!+IF(#REF!&gt;0,'Segmented SAUC'!K$102)+'Segmented SAUC'!K$103*#REF!+IF(#REF!&gt;0,'Segmented SAUC'!K$106)+'Segmented SAUC'!K$107*#REF!</f>
        <v>#REF!</v>
      </c>
      <c r="L126" s="289" t="e">
        <f>IF(#REF!&gt;0,'Segmented SAUC'!L$98)+'Segmented SAUC'!L$99*#REF!+IF(#REF!&gt;0,'Segmented SAUC'!L$102)+'Segmented SAUC'!L$103*#REF!+IF(#REF!&gt;0,'Segmented SAUC'!L$106)+'Segmented SAUC'!L$107*#REF!</f>
        <v>#REF!</v>
      </c>
      <c r="M126" s="289" t="e">
        <f>IF(#REF!&gt;0,'Segmented SAUC'!M$98)+'Segmented SAUC'!M$99*#REF!+IF(#REF!&gt;0,'Segmented SAUC'!M$102)+'Segmented SAUC'!M$103*#REF!+IF(#REF!&gt;0,'Segmented SAUC'!M$106)+'Segmented SAUC'!M$107*#REF!</f>
        <v>#REF!</v>
      </c>
      <c r="N126" s="289" t="e">
        <f>IF(#REF!&gt;0,'Segmented SAUC'!N$98)+'Segmented SAUC'!N$99*#REF!+IF(#REF!&gt;0,'Segmented SAUC'!N$102)+'Segmented SAUC'!N$103*#REF!+IF(#REF!&gt;0,'Segmented SAUC'!N$106)+'Segmented SAUC'!N$107*#REF!</f>
        <v>#REF!</v>
      </c>
      <c r="O126" s="289" t="e">
        <f>IF(#REF!&gt;0,'Segmented SAUC'!O$98)+'Segmented SAUC'!O$99*#REF!+IF(#REF!&gt;0,'Segmented SAUC'!O$102)+'Segmented SAUC'!O$103*#REF!+IF(#REF!&gt;0,'Segmented SAUC'!O$106)+'Segmented SAUC'!O$107*#REF!</f>
        <v>#REF!</v>
      </c>
      <c r="P126" s="289" t="e">
        <f>IF(#REF!&gt;0,'Segmented SAUC'!P$98)+'Segmented SAUC'!P$99*#REF!+IF(#REF!&gt;0,'Segmented SAUC'!P$102)+'Segmented SAUC'!P$103*#REF!+IF(#REF!&gt;0,'Segmented SAUC'!P$106)+'Segmented SAUC'!P$107*#REF!</f>
        <v>#REF!</v>
      </c>
      <c r="Q126" s="289" t="e">
        <f>IF(#REF!&gt;0,'Segmented SAUC'!Q$98)+'Segmented SAUC'!Q$99*#REF!+IF(#REF!&gt;0,'Segmented SAUC'!Q$102)+'Segmented SAUC'!Q$103*#REF!+IF(#REF!&gt;0,'Segmented SAUC'!Q$106)+'Segmented SAUC'!Q$107*#REF!</f>
        <v>#REF!</v>
      </c>
      <c r="R126" s="289" t="e">
        <f>IF(#REF!&gt;0,'Segmented SAUC'!R$98)+'Segmented SAUC'!R$99*#REF!+IF(#REF!&gt;0,'Segmented SAUC'!R$102)+'Segmented SAUC'!R$103*#REF!+IF(#REF!&gt;0,'Segmented SAUC'!R$106)+'Segmented SAUC'!R$107*#REF!</f>
        <v>#REF!</v>
      </c>
    </row>
    <row r="127" spans="1:18">
      <c r="A127" s="261" t="e">
        <f>#REF!</f>
        <v>#REF!</v>
      </c>
      <c r="B127" s="289"/>
      <c r="C127" s="289" t="e">
        <f>IF(#REF!&gt;0,'Segmented SAUC'!C$98)+'Segmented SAUC'!C$99*#REF!+IF(#REF!&gt;0,'Segmented SAUC'!C$102)+'Segmented SAUC'!C$103*#REF!+IF(#REF!&gt;0,'Segmented SAUC'!C$106)+'Segmented SAUC'!C$107*#REF!</f>
        <v>#REF!</v>
      </c>
      <c r="D127" s="289" t="e">
        <f>IF(#REF!&gt;0,'Segmented SAUC'!D$98)+'Segmented SAUC'!D$99*#REF!+IF(#REF!&gt;0,'Segmented SAUC'!D$102)+'Segmented SAUC'!D$103*#REF!+IF(#REF!&gt;0,'Segmented SAUC'!D$106)+'Segmented SAUC'!D$107*#REF!</f>
        <v>#REF!</v>
      </c>
      <c r="E127" s="289" t="e">
        <f>IF(#REF!&gt;0,'Segmented SAUC'!E$98)+'Segmented SAUC'!E$99*#REF!+IF(#REF!&gt;0,'Segmented SAUC'!E$102)+'Segmented SAUC'!E$103*#REF!+IF(#REF!&gt;0,'Segmented SAUC'!E$106)+'Segmented SAUC'!E$107*#REF!</f>
        <v>#REF!</v>
      </c>
      <c r="F127" s="289" t="e">
        <f>IF(#REF!&gt;0,'Segmented SAUC'!F$98)+'Segmented SAUC'!F$99*#REF!+IF(#REF!&gt;0,'Segmented SAUC'!F$102)+'Segmented SAUC'!F$103*#REF!+IF(#REF!&gt;0,'Segmented SAUC'!F$106)+'Segmented SAUC'!F$107*#REF!</f>
        <v>#REF!</v>
      </c>
      <c r="G127" s="289" t="e">
        <f>IF(#REF!&gt;0,'Segmented SAUC'!G$98)+'Segmented SAUC'!G$99*#REF!+IF(#REF!&gt;0,'Segmented SAUC'!G$102)+'Segmented SAUC'!G$103*#REF!+IF(#REF!&gt;0,'Segmented SAUC'!G$106)+'Segmented SAUC'!G$107*#REF!</f>
        <v>#REF!</v>
      </c>
      <c r="H127" s="289" t="e">
        <f>IF(#REF!&gt;0,'Segmented SAUC'!H$98)+'Segmented SAUC'!H$99*#REF!+IF(#REF!&gt;0,'Segmented SAUC'!H$102)+'Segmented SAUC'!H$103*#REF!+IF(#REF!&gt;0,'Segmented SAUC'!H$106)+'Segmented SAUC'!H$107*#REF!</f>
        <v>#REF!</v>
      </c>
      <c r="I127" s="290" t="e">
        <f>IF(#REF!&gt;0,'Segmented SAUC'!I$98)+'Segmented SAUC'!I$99*#REF!+IF(#REF!&gt;0,'Segmented SAUC'!I$102)+'Segmented SAUC'!I$103*#REF!+IF(#REF!&gt;0,'Segmented SAUC'!I$106)+'Segmented SAUC'!I$107*#REF!</f>
        <v>#REF!</v>
      </c>
      <c r="J127" s="289" t="e">
        <f>IF(#REF!&gt;0,'Segmented SAUC'!J$98)+'Segmented SAUC'!J$99*#REF!+IF(#REF!&gt;0,'Segmented SAUC'!J$102)+'Segmented SAUC'!J$103*#REF!+IF(#REF!&gt;0,'Segmented SAUC'!J$106)+'Segmented SAUC'!J$107*#REF!</f>
        <v>#REF!</v>
      </c>
      <c r="K127" s="289" t="e">
        <f>IF(#REF!&gt;0,'Segmented SAUC'!K$98)+'Segmented SAUC'!K$99*#REF!+IF(#REF!&gt;0,'Segmented SAUC'!K$102)+'Segmented SAUC'!K$103*#REF!+IF(#REF!&gt;0,'Segmented SAUC'!K$106)+'Segmented SAUC'!K$107*#REF!</f>
        <v>#REF!</v>
      </c>
      <c r="L127" s="289" t="e">
        <f>IF(#REF!&gt;0,'Segmented SAUC'!L$98)+'Segmented SAUC'!L$99*#REF!+IF(#REF!&gt;0,'Segmented SAUC'!L$102)+'Segmented SAUC'!L$103*#REF!+IF(#REF!&gt;0,'Segmented SAUC'!L$106)+'Segmented SAUC'!L$107*#REF!</f>
        <v>#REF!</v>
      </c>
      <c r="M127" s="289" t="e">
        <f>IF(#REF!&gt;0,'Segmented SAUC'!M$98)+'Segmented SAUC'!M$99*#REF!+IF(#REF!&gt;0,'Segmented SAUC'!M$102)+'Segmented SAUC'!M$103*#REF!+IF(#REF!&gt;0,'Segmented SAUC'!M$106)+'Segmented SAUC'!M$107*#REF!</f>
        <v>#REF!</v>
      </c>
      <c r="N127" s="289" t="e">
        <f>IF(#REF!&gt;0,'Segmented SAUC'!N$98)+'Segmented SAUC'!N$99*#REF!+IF(#REF!&gt;0,'Segmented SAUC'!N$102)+'Segmented SAUC'!N$103*#REF!+IF(#REF!&gt;0,'Segmented SAUC'!N$106)+'Segmented SAUC'!N$107*#REF!</f>
        <v>#REF!</v>
      </c>
      <c r="O127" s="289" t="e">
        <f>IF(#REF!&gt;0,'Segmented SAUC'!O$98)+'Segmented SAUC'!O$99*#REF!+IF(#REF!&gt;0,'Segmented SAUC'!O$102)+'Segmented SAUC'!O$103*#REF!+IF(#REF!&gt;0,'Segmented SAUC'!O$106)+'Segmented SAUC'!O$107*#REF!</f>
        <v>#REF!</v>
      </c>
      <c r="P127" s="289" t="e">
        <f>IF(#REF!&gt;0,'Segmented SAUC'!P$98)+'Segmented SAUC'!P$99*#REF!+IF(#REF!&gt;0,'Segmented SAUC'!P$102)+'Segmented SAUC'!P$103*#REF!+IF(#REF!&gt;0,'Segmented SAUC'!P$106)+'Segmented SAUC'!P$107*#REF!</f>
        <v>#REF!</v>
      </c>
      <c r="Q127" s="289" t="e">
        <f>IF(#REF!&gt;0,'Segmented SAUC'!Q$98)+'Segmented SAUC'!Q$99*#REF!+IF(#REF!&gt;0,'Segmented SAUC'!Q$102)+'Segmented SAUC'!Q$103*#REF!+IF(#REF!&gt;0,'Segmented SAUC'!Q$106)+'Segmented SAUC'!Q$107*#REF!</f>
        <v>#REF!</v>
      </c>
      <c r="R127" s="289" t="e">
        <f>IF(#REF!&gt;0,'Segmented SAUC'!R$98)+'Segmented SAUC'!R$99*#REF!+IF(#REF!&gt;0,'Segmented SAUC'!R$102)+'Segmented SAUC'!R$103*#REF!+IF(#REF!&gt;0,'Segmented SAUC'!R$106)+'Segmented SAUC'!R$107*#REF!</f>
        <v>#REF!</v>
      </c>
    </row>
    <row r="128" spans="1:18">
      <c r="A128" s="261" t="e">
        <f>#REF!</f>
        <v>#REF!</v>
      </c>
      <c r="B128" s="289"/>
      <c r="C128" s="289" t="e">
        <f>IF(#REF!&gt;0,'Segmented SAUC'!C$98)+'Segmented SAUC'!C$99*#REF!+IF(#REF!&gt;0,'Segmented SAUC'!C$102)+'Segmented SAUC'!C$103*#REF!+IF(#REF!&gt;0,'Segmented SAUC'!C$106)+'Segmented SAUC'!C$107*#REF!</f>
        <v>#REF!</v>
      </c>
      <c r="D128" s="289" t="e">
        <f>IF(#REF!&gt;0,'Segmented SAUC'!D$98)+'Segmented SAUC'!D$99*#REF!+IF(#REF!&gt;0,'Segmented SAUC'!D$102)+'Segmented SAUC'!D$103*#REF!+IF(#REF!&gt;0,'Segmented SAUC'!D$106)+'Segmented SAUC'!D$107*#REF!</f>
        <v>#REF!</v>
      </c>
      <c r="E128" s="289" t="e">
        <f>IF(#REF!&gt;0,'Segmented SAUC'!E$98)+'Segmented SAUC'!E$99*#REF!+IF(#REF!&gt;0,'Segmented SAUC'!E$102)+'Segmented SAUC'!E$103*#REF!+IF(#REF!&gt;0,'Segmented SAUC'!E$106)+'Segmented SAUC'!E$107*#REF!</f>
        <v>#REF!</v>
      </c>
      <c r="F128" s="289" t="e">
        <f>IF(#REF!&gt;0,'Segmented SAUC'!F$98)+'Segmented SAUC'!F$99*#REF!+IF(#REF!&gt;0,'Segmented SAUC'!F$102)+'Segmented SAUC'!F$103*#REF!+IF(#REF!&gt;0,'Segmented SAUC'!F$106)+'Segmented SAUC'!F$107*#REF!</f>
        <v>#REF!</v>
      </c>
      <c r="G128" s="289" t="e">
        <f>IF(#REF!&gt;0,'Segmented SAUC'!G$98)+'Segmented SAUC'!G$99*#REF!+IF(#REF!&gt;0,'Segmented SAUC'!G$102)+'Segmented SAUC'!G$103*#REF!+IF(#REF!&gt;0,'Segmented SAUC'!G$106)+'Segmented SAUC'!G$107*#REF!</f>
        <v>#REF!</v>
      </c>
      <c r="H128" s="289" t="e">
        <f>IF(#REF!&gt;0,'Segmented SAUC'!H$98)+'Segmented SAUC'!H$99*#REF!+IF(#REF!&gt;0,'Segmented SAUC'!H$102)+'Segmented SAUC'!H$103*#REF!+IF(#REF!&gt;0,'Segmented SAUC'!H$106)+'Segmented SAUC'!H$107*#REF!</f>
        <v>#REF!</v>
      </c>
      <c r="I128" s="290" t="e">
        <f>IF(#REF!&gt;0,'Segmented SAUC'!I$98)+'Segmented SAUC'!I$99*#REF!+IF(#REF!&gt;0,'Segmented SAUC'!I$102)+'Segmented SAUC'!I$103*#REF!+IF(#REF!&gt;0,'Segmented SAUC'!I$106)+'Segmented SAUC'!I$107*#REF!</f>
        <v>#REF!</v>
      </c>
      <c r="J128" s="289" t="e">
        <f>IF(#REF!&gt;0,'Segmented SAUC'!J$98)+'Segmented SAUC'!J$99*#REF!+IF(#REF!&gt;0,'Segmented SAUC'!J$102)+'Segmented SAUC'!J$103*#REF!+IF(#REF!&gt;0,'Segmented SAUC'!J$106)+'Segmented SAUC'!J$107*#REF!</f>
        <v>#REF!</v>
      </c>
      <c r="K128" s="289" t="e">
        <f>IF(#REF!&gt;0,'Segmented SAUC'!K$98)+'Segmented SAUC'!K$99*#REF!+IF(#REF!&gt;0,'Segmented SAUC'!K$102)+'Segmented SAUC'!K$103*#REF!+IF(#REF!&gt;0,'Segmented SAUC'!K$106)+'Segmented SAUC'!K$107*#REF!</f>
        <v>#REF!</v>
      </c>
      <c r="L128" s="289" t="e">
        <f>IF(#REF!&gt;0,'Segmented SAUC'!L$98)+'Segmented SAUC'!L$99*#REF!+IF(#REF!&gt;0,'Segmented SAUC'!L$102)+'Segmented SAUC'!L$103*#REF!+IF(#REF!&gt;0,'Segmented SAUC'!L$106)+'Segmented SAUC'!L$107*#REF!</f>
        <v>#REF!</v>
      </c>
      <c r="M128" s="289" t="e">
        <f>IF(#REF!&gt;0,'Segmented SAUC'!M$98)+'Segmented SAUC'!M$99*#REF!+IF(#REF!&gt;0,'Segmented SAUC'!M$102)+'Segmented SAUC'!M$103*#REF!+IF(#REF!&gt;0,'Segmented SAUC'!M$106)+'Segmented SAUC'!M$107*#REF!</f>
        <v>#REF!</v>
      </c>
      <c r="N128" s="289" t="e">
        <f>IF(#REF!&gt;0,'Segmented SAUC'!N$98)+'Segmented SAUC'!N$99*#REF!+IF(#REF!&gt;0,'Segmented SAUC'!N$102)+'Segmented SAUC'!N$103*#REF!+IF(#REF!&gt;0,'Segmented SAUC'!N$106)+'Segmented SAUC'!N$107*#REF!</f>
        <v>#REF!</v>
      </c>
      <c r="O128" s="289" t="e">
        <f>IF(#REF!&gt;0,'Segmented SAUC'!O$98)+'Segmented SAUC'!O$99*#REF!+IF(#REF!&gt;0,'Segmented SAUC'!O$102)+'Segmented SAUC'!O$103*#REF!+IF(#REF!&gt;0,'Segmented SAUC'!O$106)+'Segmented SAUC'!O$107*#REF!</f>
        <v>#REF!</v>
      </c>
      <c r="P128" s="289" t="e">
        <f>IF(#REF!&gt;0,'Segmented SAUC'!P$98)+'Segmented SAUC'!P$99*#REF!+IF(#REF!&gt;0,'Segmented SAUC'!P$102)+'Segmented SAUC'!P$103*#REF!+IF(#REF!&gt;0,'Segmented SAUC'!P$106)+'Segmented SAUC'!P$107*#REF!</f>
        <v>#REF!</v>
      </c>
      <c r="Q128" s="289" t="e">
        <f>IF(#REF!&gt;0,'Segmented SAUC'!Q$98)+'Segmented SAUC'!Q$99*#REF!+IF(#REF!&gt;0,'Segmented SAUC'!Q$102)+'Segmented SAUC'!Q$103*#REF!+IF(#REF!&gt;0,'Segmented SAUC'!Q$106)+'Segmented SAUC'!Q$107*#REF!</f>
        <v>#REF!</v>
      </c>
      <c r="R128" s="289" t="e">
        <f>IF(#REF!&gt;0,'Segmented SAUC'!R$98)+'Segmented SAUC'!R$99*#REF!+IF(#REF!&gt;0,'Segmented SAUC'!R$102)+'Segmented SAUC'!R$103*#REF!+IF(#REF!&gt;0,'Segmented SAUC'!R$106)+'Segmented SAUC'!R$107*#REF!</f>
        <v>#REF!</v>
      </c>
    </row>
    <row r="129" spans="1:18">
      <c r="A129" s="261" t="e">
        <f>#REF!</f>
        <v>#REF!</v>
      </c>
      <c r="B129" s="289"/>
      <c r="C129" s="289" t="e">
        <f>IF(#REF!&gt;0,'Segmented SAUC'!C$98)+'Segmented SAUC'!C$99*#REF!+IF(#REF!&gt;0,'Segmented SAUC'!C$102)+'Segmented SAUC'!C$103*#REF!+IF(#REF!&gt;0,'Segmented SAUC'!C$106)+'Segmented SAUC'!C$107*#REF!</f>
        <v>#REF!</v>
      </c>
      <c r="D129" s="289" t="e">
        <f>IF(#REF!&gt;0,'Segmented SAUC'!D$98)+'Segmented SAUC'!D$99*#REF!+IF(#REF!&gt;0,'Segmented SAUC'!D$102)+'Segmented SAUC'!D$103*#REF!+IF(#REF!&gt;0,'Segmented SAUC'!D$106)+'Segmented SAUC'!D$107*#REF!</f>
        <v>#REF!</v>
      </c>
      <c r="E129" s="289" t="e">
        <f>IF(#REF!&gt;0,'Segmented SAUC'!E$98)+'Segmented SAUC'!E$99*#REF!+IF(#REF!&gt;0,'Segmented SAUC'!E$102)+'Segmented SAUC'!E$103*#REF!+IF(#REF!&gt;0,'Segmented SAUC'!E$106)+'Segmented SAUC'!E$107*#REF!</f>
        <v>#REF!</v>
      </c>
      <c r="F129" s="289" t="e">
        <f>IF(#REF!&gt;0,'Segmented SAUC'!F$98)+'Segmented SAUC'!F$99*#REF!+IF(#REF!&gt;0,'Segmented SAUC'!F$102)+'Segmented SAUC'!F$103*#REF!+IF(#REF!&gt;0,'Segmented SAUC'!F$106)+'Segmented SAUC'!F$107*#REF!</f>
        <v>#REF!</v>
      </c>
      <c r="G129" s="289" t="e">
        <f>IF(#REF!&gt;0,'Segmented SAUC'!G$98)+'Segmented SAUC'!G$99*#REF!+IF(#REF!&gt;0,'Segmented SAUC'!G$102)+'Segmented SAUC'!G$103*#REF!+IF(#REF!&gt;0,'Segmented SAUC'!G$106)+'Segmented SAUC'!G$107*#REF!</f>
        <v>#REF!</v>
      </c>
      <c r="H129" s="289" t="e">
        <f>IF(#REF!&gt;0,'Segmented SAUC'!H$98)+'Segmented SAUC'!H$99*#REF!+IF(#REF!&gt;0,'Segmented SAUC'!H$102)+'Segmented SAUC'!H$103*#REF!+IF(#REF!&gt;0,'Segmented SAUC'!H$106)+'Segmented SAUC'!H$107*#REF!</f>
        <v>#REF!</v>
      </c>
      <c r="I129" s="290" t="e">
        <f>IF(#REF!&gt;0,'Segmented SAUC'!I$98)+'Segmented SAUC'!I$99*#REF!+IF(#REF!&gt;0,'Segmented SAUC'!I$102)+'Segmented SAUC'!I$103*#REF!+IF(#REF!&gt;0,'Segmented SAUC'!I$106)+'Segmented SAUC'!I$107*#REF!</f>
        <v>#REF!</v>
      </c>
      <c r="J129" s="289" t="e">
        <f>IF(#REF!&gt;0,'Segmented SAUC'!J$98)+'Segmented SAUC'!J$99*#REF!+IF(#REF!&gt;0,'Segmented SAUC'!J$102)+'Segmented SAUC'!J$103*#REF!+IF(#REF!&gt;0,'Segmented SAUC'!J$106)+'Segmented SAUC'!J$107*#REF!</f>
        <v>#REF!</v>
      </c>
      <c r="K129" s="289" t="e">
        <f>IF(#REF!&gt;0,'Segmented SAUC'!K$98)+'Segmented SAUC'!K$99*#REF!+IF(#REF!&gt;0,'Segmented SAUC'!K$102)+'Segmented SAUC'!K$103*#REF!+IF(#REF!&gt;0,'Segmented SAUC'!K$106)+'Segmented SAUC'!K$107*#REF!</f>
        <v>#REF!</v>
      </c>
      <c r="L129" s="289" t="e">
        <f>IF(#REF!&gt;0,'Segmented SAUC'!L$98)+'Segmented SAUC'!L$99*#REF!+IF(#REF!&gt;0,'Segmented SAUC'!L$102)+'Segmented SAUC'!L$103*#REF!+IF(#REF!&gt;0,'Segmented SAUC'!L$106)+'Segmented SAUC'!L$107*#REF!</f>
        <v>#REF!</v>
      </c>
      <c r="M129" s="289" t="e">
        <f>IF(#REF!&gt;0,'Segmented SAUC'!M$98)+'Segmented SAUC'!M$99*#REF!+IF(#REF!&gt;0,'Segmented SAUC'!M$102)+'Segmented SAUC'!M$103*#REF!+IF(#REF!&gt;0,'Segmented SAUC'!M$106)+'Segmented SAUC'!M$107*#REF!</f>
        <v>#REF!</v>
      </c>
      <c r="N129" s="289" t="e">
        <f>IF(#REF!&gt;0,'Segmented SAUC'!N$98)+'Segmented SAUC'!N$99*#REF!+IF(#REF!&gt;0,'Segmented SAUC'!N$102)+'Segmented SAUC'!N$103*#REF!+IF(#REF!&gt;0,'Segmented SAUC'!N$106)+'Segmented SAUC'!N$107*#REF!</f>
        <v>#REF!</v>
      </c>
      <c r="O129" s="289" t="e">
        <f>IF(#REF!&gt;0,'Segmented SAUC'!O$98)+'Segmented SAUC'!O$99*#REF!+IF(#REF!&gt;0,'Segmented SAUC'!O$102)+'Segmented SAUC'!O$103*#REF!+IF(#REF!&gt;0,'Segmented SAUC'!O$106)+'Segmented SAUC'!O$107*#REF!</f>
        <v>#REF!</v>
      </c>
      <c r="P129" s="289" t="e">
        <f>IF(#REF!&gt;0,'Segmented SAUC'!P$98)+'Segmented SAUC'!P$99*#REF!+IF(#REF!&gt;0,'Segmented SAUC'!P$102)+'Segmented SAUC'!P$103*#REF!+IF(#REF!&gt;0,'Segmented SAUC'!P$106)+'Segmented SAUC'!P$107*#REF!</f>
        <v>#REF!</v>
      </c>
      <c r="Q129" s="289" t="e">
        <f>IF(#REF!&gt;0,'Segmented SAUC'!Q$98)+'Segmented SAUC'!Q$99*#REF!+IF(#REF!&gt;0,'Segmented SAUC'!Q$102)+'Segmented SAUC'!Q$103*#REF!+IF(#REF!&gt;0,'Segmented SAUC'!Q$106)+'Segmented SAUC'!Q$107*#REF!</f>
        <v>#REF!</v>
      </c>
      <c r="R129" s="289" t="e">
        <f>IF(#REF!&gt;0,'Segmented SAUC'!R$98)+'Segmented SAUC'!R$99*#REF!+IF(#REF!&gt;0,'Segmented SAUC'!R$102)+'Segmented SAUC'!R$103*#REF!+IF(#REF!&gt;0,'Segmented SAUC'!R$106)+'Segmented SAUC'!R$107*#REF!</f>
        <v>#REF!</v>
      </c>
    </row>
    <row r="130" spans="1:18">
      <c r="A130" s="261" t="e">
        <f>#REF!</f>
        <v>#REF!</v>
      </c>
      <c r="B130" s="289"/>
      <c r="C130" s="289" t="e">
        <f>IF(#REF!&gt;0,'Segmented SAUC'!C$98)+'Segmented SAUC'!C$99*#REF!+IF(#REF!&gt;0,'Segmented SAUC'!C$102)+'Segmented SAUC'!C$103*#REF!+IF(#REF!&gt;0,'Segmented SAUC'!C$106)+'Segmented SAUC'!C$107*#REF!</f>
        <v>#REF!</v>
      </c>
      <c r="D130" s="289" t="e">
        <f>IF(#REF!&gt;0,'Segmented SAUC'!D$98)+'Segmented SAUC'!D$99*#REF!+IF(#REF!&gt;0,'Segmented SAUC'!D$102)+'Segmented SAUC'!D$103*#REF!+IF(#REF!&gt;0,'Segmented SAUC'!D$106)+'Segmented SAUC'!D$107*#REF!</f>
        <v>#REF!</v>
      </c>
      <c r="E130" s="289" t="e">
        <f>IF(#REF!&gt;0,'Segmented SAUC'!E$98)+'Segmented SAUC'!E$99*#REF!+IF(#REF!&gt;0,'Segmented SAUC'!E$102)+'Segmented SAUC'!E$103*#REF!+IF(#REF!&gt;0,'Segmented SAUC'!E$106)+'Segmented SAUC'!E$107*#REF!</f>
        <v>#REF!</v>
      </c>
      <c r="F130" s="289" t="e">
        <f>IF(#REF!&gt;0,'Segmented SAUC'!F$98)+'Segmented SAUC'!F$99*#REF!+IF(#REF!&gt;0,'Segmented SAUC'!F$102)+'Segmented SAUC'!F$103*#REF!+IF(#REF!&gt;0,'Segmented SAUC'!F$106)+'Segmented SAUC'!F$107*#REF!</f>
        <v>#REF!</v>
      </c>
      <c r="G130" s="289" t="e">
        <f>IF(#REF!&gt;0,'Segmented SAUC'!G$98)+'Segmented SAUC'!G$99*#REF!+IF(#REF!&gt;0,'Segmented SAUC'!G$102)+'Segmented SAUC'!G$103*#REF!+IF(#REF!&gt;0,'Segmented SAUC'!G$106)+'Segmented SAUC'!G$107*#REF!</f>
        <v>#REF!</v>
      </c>
      <c r="H130" s="289" t="e">
        <f>IF(#REF!&gt;0,'Segmented SAUC'!H$98)+'Segmented SAUC'!H$99*#REF!+IF(#REF!&gt;0,'Segmented SAUC'!H$102)+'Segmented SAUC'!H$103*#REF!+IF(#REF!&gt;0,'Segmented SAUC'!H$106)+'Segmented SAUC'!H$107*#REF!</f>
        <v>#REF!</v>
      </c>
      <c r="I130" s="290" t="e">
        <f>IF(#REF!&gt;0,'Segmented SAUC'!I$98)+'Segmented SAUC'!I$99*#REF!+IF(#REF!&gt;0,'Segmented SAUC'!I$102)+'Segmented SAUC'!I$103*#REF!+IF(#REF!&gt;0,'Segmented SAUC'!I$106)+'Segmented SAUC'!I$107*#REF!</f>
        <v>#REF!</v>
      </c>
      <c r="J130" s="289" t="e">
        <f>IF(#REF!&gt;0,'Segmented SAUC'!J$98)+'Segmented SAUC'!J$99*#REF!+IF(#REF!&gt;0,'Segmented SAUC'!J$102)+'Segmented SAUC'!J$103*#REF!+IF(#REF!&gt;0,'Segmented SAUC'!J$106)+'Segmented SAUC'!J$107*#REF!</f>
        <v>#REF!</v>
      </c>
      <c r="K130" s="289" t="e">
        <f>IF(#REF!&gt;0,'Segmented SAUC'!K$98)+'Segmented SAUC'!K$99*#REF!+IF(#REF!&gt;0,'Segmented SAUC'!K$102)+'Segmented SAUC'!K$103*#REF!+IF(#REF!&gt;0,'Segmented SAUC'!K$106)+'Segmented SAUC'!K$107*#REF!</f>
        <v>#REF!</v>
      </c>
      <c r="L130" s="289" t="e">
        <f>IF(#REF!&gt;0,'Segmented SAUC'!L$98)+'Segmented SAUC'!L$99*#REF!+IF(#REF!&gt;0,'Segmented SAUC'!L$102)+'Segmented SAUC'!L$103*#REF!+IF(#REF!&gt;0,'Segmented SAUC'!L$106)+'Segmented SAUC'!L$107*#REF!</f>
        <v>#REF!</v>
      </c>
      <c r="M130" s="289" t="e">
        <f>IF(#REF!&gt;0,'Segmented SAUC'!M$98)+'Segmented SAUC'!M$99*#REF!+IF(#REF!&gt;0,'Segmented SAUC'!M$102)+'Segmented SAUC'!M$103*#REF!+IF(#REF!&gt;0,'Segmented SAUC'!M$106)+'Segmented SAUC'!M$107*#REF!</f>
        <v>#REF!</v>
      </c>
      <c r="N130" s="289" t="e">
        <f>IF(#REF!&gt;0,'Segmented SAUC'!N$98)+'Segmented SAUC'!N$99*#REF!+IF(#REF!&gt;0,'Segmented SAUC'!N$102)+'Segmented SAUC'!N$103*#REF!+IF(#REF!&gt;0,'Segmented SAUC'!N$106)+'Segmented SAUC'!N$107*#REF!</f>
        <v>#REF!</v>
      </c>
      <c r="O130" s="289" t="e">
        <f>IF(#REF!&gt;0,'Segmented SAUC'!O$98)+'Segmented SAUC'!O$99*#REF!+IF(#REF!&gt;0,'Segmented SAUC'!O$102)+'Segmented SAUC'!O$103*#REF!+IF(#REF!&gt;0,'Segmented SAUC'!O$106)+'Segmented SAUC'!O$107*#REF!</f>
        <v>#REF!</v>
      </c>
      <c r="P130" s="289" t="e">
        <f>IF(#REF!&gt;0,'Segmented SAUC'!P$98)+'Segmented SAUC'!P$99*#REF!+IF(#REF!&gt;0,'Segmented SAUC'!P$102)+'Segmented SAUC'!P$103*#REF!+IF(#REF!&gt;0,'Segmented SAUC'!P$106)+'Segmented SAUC'!P$107*#REF!</f>
        <v>#REF!</v>
      </c>
      <c r="Q130" s="289" t="e">
        <f>IF(#REF!&gt;0,'Segmented SAUC'!Q$98)+'Segmented SAUC'!Q$99*#REF!+IF(#REF!&gt;0,'Segmented SAUC'!Q$102)+'Segmented SAUC'!Q$103*#REF!+IF(#REF!&gt;0,'Segmented SAUC'!Q$106)+'Segmented SAUC'!Q$107*#REF!</f>
        <v>#REF!</v>
      </c>
      <c r="R130" s="289" t="e">
        <f>IF(#REF!&gt;0,'Segmented SAUC'!R$98)+'Segmented SAUC'!R$99*#REF!+IF(#REF!&gt;0,'Segmented SAUC'!R$102)+'Segmented SAUC'!R$103*#REF!+IF(#REF!&gt;0,'Segmented SAUC'!R$106)+'Segmented SAUC'!R$107*#REF!</f>
        <v>#REF!</v>
      </c>
    </row>
    <row r="131" spans="1:18">
      <c r="A131" s="261" t="e">
        <f>#REF!</f>
        <v>#REF!</v>
      </c>
      <c r="B131" s="289"/>
      <c r="C131" s="289" t="e">
        <f>IF(#REF!&gt;0,'Segmented SAUC'!C$98)+'Segmented SAUC'!C$99*#REF!+IF(#REF!&gt;0,'Segmented SAUC'!C$102)+'Segmented SAUC'!C$103*#REF!+IF(#REF!&gt;0,'Segmented SAUC'!C$106)+'Segmented SAUC'!C$107*#REF!</f>
        <v>#REF!</v>
      </c>
      <c r="D131" s="289" t="e">
        <f>IF(#REF!&gt;0,'Segmented SAUC'!D$98)+'Segmented SAUC'!D$99*#REF!+IF(#REF!&gt;0,'Segmented SAUC'!D$102)+'Segmented SAUC'!D$103*#REF!+IF(#REF!&gt;0,'Segmented SAUC'!D$106)+'Segmented SAUC'!D$107*#REF!</f>
        <v>#REF!</v>
      </c>
      <c r="E131" s="289" t="e">
        <f>IF(#REF!&gt;0,'Segmented SAUC'!E$98)+'Segmented SAUC'!E$99*#REF!+IF(#REF!&gt;0,'Segmented SAUC'!E$102)+'Segmented SAUC'!E$103*#REF!+IF(#REF!&gt;0,'Segmented SAUC'!E$106)+'Segmented SAUC'!E$107*#REF!</f>
        <v>#REF!</v>
      </c>
      <c r="F131" s="289" t="e">
        <f>IF(#REF!&gt;0,'Segmented SAUC'!F$98)+'Segmented SAUC'!F$99*#REF!+IF(#REF!&gt;0,'Segmented SAUC'!F$102)+'Segmented SAUC'!F$103*#REF!+IF(#REF!&gt;0,'Segmented SAUC'!F$106)+'Segmented SAUC'!F$107*#REF!</f>
        <v>#REF!</v>
      </c>
      <c r="G131" s="289" t="e">
        <f>IF(#REF!&gt;0,'Segmented SAUC'!G$98)+'Segmented SAUC'!G$99*#REF!+IF(#REF!&gt;0,'Segmented SAUC'!G$102)+'Segmented SAUC'!G$103*#REF!+IF(#REF!&gt;0,'Segmented SAUC'!G$106)+'Segmented SAUC'!G$107*#REF!</f>
        <v>#REF!</v>
      </c>
      <c r="H131" s="289" t="e">
        <f>IF(#REF!&gt;0,'Segmented SAUC'!H$98)+'Segmented SAUC'!H$99*#REF!+IF(#REF!&gt;0,'Segmented SAUC'!H$102)+'Segmented SAUC'!H$103*#REF!+IF(#REF!&gt;0,'Segmented SAUC'!H$106)+'Segmented SAUC'!H$107*#REF!</f>
        <v>#REF!</v>
      </c>
      <c r="I131" s="290" t="e">
        <f>IF(#REF!&gt;0,'Segmented SAUC'!I$98)+'Segmented SAUC'!I$99*#REF!+IF(#REF!&gt;0,'Segmented SAUC'!I$102)+'Segmented SAUC'!I$103*#REF!+IF(#REF!&gt;0,'Segmented SAUC'!I$106)+'Segmented SAUC'!I$107*#REF!</f>
        <v>#REF!</v>
      </c>
      <c r="J131" s="289" t="e">
        <f>IF(#REF!&gt;0,'Segmented SAUC'!J$98)+'Segmented SAUC'!J$99*#REF!+IF(#REF!&gt;0,'Segmented SAUC'!J$102)+'Segmented SAUC'!J$103*#REF!+IF(#REF!&gt;0,'Segmented SAUC'!J$106)+'Segmented SAUC'!J$107*#REF!</f>
        <v>#REF!</v>
      </c>
      <c r="K131" s="289" t="e">
        <f>IF(#REF!&gt;0,'Segmented SAUC'!K$98)+'Segmented SAUC'!K$99*#REF!+IF(#REF!&gt;0,'Segmented SAUC'!K$102)+'Segmented SAUC'!K$103*#REF!+IF(#REF!&gt;0,'Segmented SAUC'!K$106)+'Segmented SAUC'!K$107*#REF!</f>
        <v>#REF!</v>
      </c>
      <c r="L131" s="289" t="e">
        <f>IF(#REF!&gt;0,'Segmented SAUC'!L$98)+'Segmented SAUC'!L$99*#REF!+IF(#REF!&gt;0,'Segmented SAUC'!L$102)+'Segmented SAUC'!L$103*#REF!+IF(#REF!&gt;0,'Segmented SAUC'!L$106)+'Segmented SAUC'!L$107*#REF!</f>
        <v>#REF!</v>
      </c>
      <c r="M131" s="289" t="e">
        <f>IF(#REF!&gt;0,'Segmented SAUC'!M$98)+'Segmented SAUC'!M$99*#REF!+IF(#REF!&gt;0,'Segmented SAUC'!M$102)+'Segmented SAUC'!M$103*#REF!+IF(#REF!&gt;0,'Segmented SAUC'!M$106)+'Segmented SAUC'!M$107*#REF!</f>
        <v>#REF!</v>
      </c>
      <c r="N131" s="289" t="e">
        <f>IF(#REF!&gt;0,'Segmented SAUC'!N$98)+'Segmented SAUC'!N$99*#REF!+IF(#REF!&gt;0,'Segmented SAUC'!N$102)+'Segmented SAUC'!N$103*#REF!+IF(#REF!&gt;0,'Segmented SAUC'!N$106)+'Segmented SAUC'!N$107*#REF!</f>
        <v>#REF!</v>
      </c>
      <c r="O131" s="289" t="e">
        <f>IF(#REF!&gt;0,'Segmented SAUC'!O$98)+'Segmented SAUC'!O$99*#REF!+IF(#REF!&gt;0,'Segmented SAUC'!O$102)+'Segmented SAUC'!O$103*#REF!+IF(#REF!&gt;0,'Segmented SAUC'!O$106)+'Segmented SAUC'!O$107*#REF!</f>
        <v>#REF!</v>
      </c>
      <c r="P131" s="289" t="e">
        <f>IF(#REF!&gt;0,'Segmented SAUC'!P$98)+'Segmented SAUC'!P$99*#REF!+IF(#REF!&gt;0,'Segmented SAUC'!P$102)+'Segmented SAUC'!P$103*#REF!+IF(#REF!&gt;0,'Segmented SAUC'!P$106)+'Segmented SAUC'!P$107*#REF!</f>
        <v>#REF!</v>
      </c>
      <c r="Q131" s="289" t="e">
        <f>IF(#REF!&gt;0,'Segmented SAUC'!Q$98)+'Segmented SAUC'!Q$99*#REF!+IF(#REF!&gt;0,'Segmented SAUC'!Q$102)+'Segmented SAUC'!Q$103*#REF!+IF(#REF!&gt;0,'Segmented SAUC'!Q$106)+'Segmented SAUC'!Q$107*#REF!</f>
        <v>#REF!</v>
      </c>
      <c r="R131" s="289" t="e">
        <f>IF(#REF!&gt;0,'Segmented SAUC'!R$98)+'Segmented SAUC'!R$99*#REF!+IF(#REF!&gt;0,'Segmented SAUC'!R$102)+'Segmented SAUC'!R$103*#REF!+IF(#REF!&gt;0,'Segmented SAUC'!R$106)+'Segmented SAUC'!R$107*#REF!</f>
        <v>#REF!</v>
      </c>
    </row>
    <row r="132" spans="1:18">
      <c r="A132" s="261" t="e">
        <f>#REF!</f>
        <v>#REF!</v>
      </c>
      <c r="B132" s="289"/>
      <c r="C132" s="289" t="e">
        <f>IF(#REF!&gt;0,'Segmented SAUC'!C$98)+'Segmented SAUC'!C$99*#REF!+IF(#REF!&gt;0,'Segmented SAUC'!C$102)+'Segmented SAUC'!C$103*#REF!+IF(#REF!&gt;0,'Segmented SAUC'!C$106)+'Segmented SAUC'!C$107*#REF!</f>
        <v>#REF!</v>
      </c>
      <c r="D132" s="289" t="e">
        <f>IF(#REF!&gt;0,'Segmented SAUC'!D$98)+'Segmented SAUC'!D$99*#REF!+IF(#REF!&gt;0,'Segmented SAUC'!D$102)+'Segmented SAUC'!D$103*#REF!+IF(#REF!&gt;0,'Segmented SAUC'!D$106)+'Segmented SAUC'!D$107*#REF!</f>
        <v>#REF!</v>
      </c>
      <c r="E132" s="289" t="e">
        <f>IF(#REF!&gt;0,'Segmented SAUC'!E$98)+'Segmented SAUC'!E$99*#REF!+IF(#REF!&gt;0,'Segmented SAUC'!E$102)+'Segmented SAUC'!E$103*#REF!+IF(#REF!&gt;0,'Segmented SAUC'!E$106)+'Segmented SAUC'!E$107*#REF!</f>
        <v>#REF!</v>
      </c>
      <c r="F132" s="289" t="e">
        <f>IF(#REF!&gt;0,'Segmented SAUC'!F$98)+'Segmented SAUC'!F$99*#REF!+IF(#REF!&gt;0,'Segmented SAUC'!F$102)+'Segmented SAUC'!F$103*#REF!+IF(#REF!&gt;0,'Segmented SAUC'!F$106)+'Segmented SAUC'!F$107*#REF!</f>
        <v>#REF!</v>
      </c>
      <c r="G132" s="289" t="e">
        <f>IF(#REF!&gt;0,'Segmented SAUC'!G$98)+'Segmented SAUC'!G$99*#REF!+IF(#REF!&gt;0,'Segmented SAUC'!G$102)+'Segmented SAUC'!G$103*#REF!+IF(#REF!&gt;0,'Segmented SAUC'!G$106)+'Segmented SAUC'!G$107*#REF!</f>
        <v>#REF!</v>
      </c>
      <c r="H132" s="289" t="e">
        <f>IF(#REF!&gt;0,'Segmented SAUC'!H$98)+'Segmented SAUC'!H$99*#REF!+IF(#REF!&gt;0,'Segmented SAUC'!H$102)+'Segmented SAUC'!H$103*#REF!+IF(#REF!&gt;0,'Segmented SAUC'!H$106)+'Segmented SAUC'!H$107*#REF!</f>
        <v>#REF!</v>
      </c>
      <c r="I132" s="290" t="e">
        <f>IF(#REF!&gt;0,'Segmented SAUC'!I$98)+'Segmented SAUC'!I$99*#REF!+IF(#REF!&gt;0,'Segmented SAUC'!I$102)+'Segmented SAUC'!I$103*#REF!+IF(#REF!&gt;0,'Segmented SAUC'!I$106)+'Segmented SAUC'!I$107*#REF!</f>
        <v>#REF!</v>
      </c>
      <c r="J132" s="289" t="e">
        <f>IF(#REF!&gt;0,'Segmented SAUC'!J$98)+'Segmented SAUC'!J$99*#REF!+IF(#REF!&gt;0,'Segmented SAUC'!J$102)+'Segmented SAUC'!J$103*#REF!+IF(#REF!&gt;0,'Segmented SAUC'!J$106)+'Segmented SAUC'!J$107*#REF!</f>
        <v>#REF!</v>
      </c>
      <c r="K132" s="289" t="e">
        <f>IF(#REF!&gt;0,'Segmented SAUC'!K$98)+'Segmented SAUC'!K$99*#REF!+IF(#REF!&gt;0,'Segmented SAUC'!K$102)+'Segmented SAUC'!K$103*#REF!+IF(#REF!&gt;0,'Segmented SAUC'!K$106)+'Segmented SAUC'!K$107*#REF!</f>
        <v>#REF!</v>
      </c>
      <c r="L132" s="289" t="e">
        <f>IF(#REF!&gt;0,'Segmented SAUC'!L$98)+'Segmented SAUC'!L$99*#REF!+IF(#REF!&gt;0,'Segmented SAUC'!L$102)+'Segmented SAUC'!L$103*#REF!+IF(#REF!&gt;0,'Segmented SAUC'!L$106)+'Segmented SAUC'!L$107*#REF!</f>
        <v>#REF!</v>
      </c>
      <c r="M132" s="289" t="e">
        <f>IF(#REF!&gt;0,'Segmented SAUC'!M$98)+'Segmented SAUC'!M$99*#REF!+IF(#REF!&gt;0,'Segmented SAUC'!M$102)+'Segmented SAUC'!M$103*#REF!+IF(#REF!&gt;0,'Segmented SAUC'!M$106)+'Segmented SAUC'!M$107*#REF!</f>
        <v>#REF!</v>
      </c>
      <c r="N132" s="289" t="e">
        <f>IF(#REF!&gt;0,'Segmented SAUC'!N$98)+'Segmented SAUC'!N$99*#REF!+IF(#REF!&gt;0,'Segmented SAUC'!N$102)+'Segmented SAUC'!N$103*#REF!+IF(#REF!&gt;0,'Segmented SAUC'!N$106)+'Segmented SAUC'!N$107*#REF!</f>
        <v>#REF!</v>
      </c>
      <c r="O132" s="289" t="e">
        <f>IF(#REF!&gt;0,'Segmented SAUC'!O$98)+'Segmented SAUC'!O$99*#REF!+IF(#REF!&gt;0,'Segmented SAUC'!O$102)+'Segmented SAUC'!O$103*#REF!+IF(#REF!&gt;0,'Segmented SAUC'!O$106)+'Segmented SAUC'!O$107*#REF!</f>
        <v>#REF!</v>
      </c>
      <c r="P132" s="289" t="e">
        <f>IF(#REF!&gt;0,'Segmented SAUC'!P$98)+'Segmented SAUC'!P$99*#REF!+IF(#REF!&gt;0,'Segmented SAUC'!P$102)+'Segmented SAUC'!P$103*#REF!+IF(#REF!&gt;0,'Segmented SAUC'!P$106)+'Segmented SAUC'!P$107*#REF!</f>
        <v>#REF!</v>
      </c>
      <c r="Q132" s="289" t="e">
        <f>IF(#REF!&gt;0,'Segmented SAUC'!Q$98)+'Segmented SAUC'!Q$99*#REF!+IF(#REF!&gt;0,'Segmented SAUC'!Q$102)+'Segmented SAUC'!Q$103*#REF!+IF(#REF!&gt;0,'Segmented SAUC'!Q$106)+'Segmented SAUC'!Q$107*#REF!</f>
        <v>#REF!</v>
      </c>
      <c r="R132" s="289" t="e">
        <f>IF(#REF!&gt;0,'Segmented SAUC'!R$98)+'Segmented SAUC'!R$99*#REF!+IF(#REF!&gt;0,'Segmented SAUC'!R$102)+'Segmented SAUC'!R$103*#REF!+IF(#REF!&gt;0,'Segmented SAUC'!R$106)+'Segmented SAUC'!R$107*#REF!</f>
        <v>#REF!</v>
      </c>
    </row>
    <row r="133" spans="1:18">
      <c r="A133" s="261" t="e">
        <f>#REF!</f>
        <v>#REF!</v>
      </c>
      <c r="B133" s="289"/>
      <c r="C133" s="289" t="e">
        <f>IF(#REF!&gt;0,'Segmented SAUC'!C$98)+'Segmented SAUC'!C$99*#REF!+IF(#REF!&gt;0,'Segmented SAUC'!C$102)+'Segmented SAUC'!C$103*#REF!+IF(#REF!&gt;0,'Segmented SAUC'!C$106)+'Segmented SAUC'!C$107*#REF!</f>
        <v>#REF!</v>
      </c>
      <c r="D133" s="289" t="e">
        <f>IF(#REF!&gt;0,'Segmented SAUC'!D$98)+'Segmented SAUC'!D$99*#REF!+IF(#REF!&gt;0,'Segmented SAUC'!D$102)+'Segmented SAUC'!D$103*#REF!+IF(#REF!&gt;0,'Segmented SAUC'!D$106)+'Segmented SAUC'!D$107*#REF!</f>
        <v>#REF!</v>
      </c>
      <c r="E133" s="289" t="e">
        <f>IF(#REF!&gt;0,'Segmented SAUC'!E$98)+'Segmented SAUC'!E$99*#REF!+IF(#REF!&gt;0,'Segmented SAUC'!E$102)+'Segmented SAUC'!E$103*#REF!+IF(#REF!&gt;0,'Segmented SAUC'!E$106)+'Segmented SAUC'!E$107*#REF!</f>
        <v>#REF!</v>
      </c>
      <c r="F133" s="289" t="e">
        <f>IF(#REF!&gt;0,'Segmented SAUC'!F$98)+'Segmented SAUC'!F$99*#REF!+IF(#REF!&gt;0,'Segmented SAUC'!F$102)+'Segmented SAUC'!F$103*#REF!+IF(#REF!&gt;0,'Segmented SAUC'!F$106)+'Segmented SAUC'!F$107*#REF!</f>
        <v>#REF!</v>
      </c>
      <c r="G133" s="289" t="e">
        <f>IF(#REF!&gt;0,'Segmented SAUC'!G$98)+'Segmented SAUC'!G$99*#REF!+IF(#REF!&gt;0,'Segmented SAUC'!G$102)+'Segmented SAUC'!G$103*#REF!+IF(#REF!&gt;0,'Segmented SAUC'!G$106)+'Segmented SAUC'!G$107*#REF!</f>
        <v>#REF!</v>
      </c>
      <c r="H133" s="289" t="e">
        <f>IF(#REF!&gt;0,'Segmented SAUC'!H$98)+'Segmented SAUC'!H$99*#REF!+IF(#REF!&gt;0,'Segmented SAUC'!H$102)+'Segmented SAUC'!H$103*#REF!+IF(#REF!&gt;0,'Segmented SAUC'!H$106)+'Segmented SAUC'!H$107*#REF!</f>
        <v>#REF!</v>
      </c>
      <c r="I133" s="290" t="e">
        <f>IF(#REF!&gt;0,'Segmented SAUC'!I$98)+'Segmented SAUC'!I$99*#REF!+IF(#REF!&gt;0,'Segmented SAUC'!I$102)+'Segmented SAUC'!I$103*#REF!+IF(#REF!&gt;0,'Segmented SAUC'!I$106)+'Segmented SAUC'!I$107*#REF!</f>
        <v>#REF!</v>
      </c>
      <c r="J133" s="289" t="e">
        <f>IF(#REF!&gt;0,'Segmented SAUC'!J$98)+'Segmented SAUC'!J$99*#REF!+IF(#REF!&gt;0,'Segmented SAUC'!J$102)+'Segmented SAUC'!J$103*#REF!+IF(#REF!&gt;0,'Segmented SAUC'!J$106)+'Segmented SAUC'!J$107*#REF!</f>
        <v>#REF!</v>
      </c>
      <c r="K133" s="289" t="e">
        <f>IF(#REF!&gt;0,'Segmented SAUC'!K$98)+'Segmented SAUC'!K$99*#REF!+IF(#REF!&gt;0,'Segmented SAUC'!K$102)+'Segmented SAUC'!K$103*#REF!+IF(#REF!&gt;0,'Segmented SAUC'!K$106)+'Segmented SAUC'!K$107*#REF!</f>
        <v>#REF!</v>
      </c>
      <c r="L133" s="289" t="e">
        <f>IF(#REF!&gt;0,'Segmented SAUC'!L$98)+'Segmented SAUC'!L$99*#REF!+IF(#REF!&gt;0,'Segmented SAUC'!L$102)+'Segmented SAUC'!L$103*#REF!+IF(#REF!&gt;0,'Segmented SAUC'!L$106)+'Segmented SAUC'!L$107*#REF!</f>
        <v>#REF!</v>
      </c>
      <c r="M133" s="289" t="e">
        <f>IF(#REF!&gt;0,'Segmented SAUC'!M$98)+'Segmented SAUC'!M$99*#REF!+IF(#REF!&gt;0,'Segmented SAUC'!M$102)+'Segmented SAUC'!M$103*#REF!+IF(#REF!&gt;0,'Segmented SAUC'!M$106)+'Segmented SAUC'!M$107*#REF!</f>
        <v>#REF!</v>
      </c>
      <c r="N133" s="289" t="e">
        <f>IF(#REF!&gt;0,'Segmented SAUC'!N$98)+'Segmented SAUC'!N$99*#REF!+IF(#REF!&gt;0,'Segmented SAUC'!N$102)+'Segmented SAUC'!N$103*#REF!+IF(#REF!&gt;0,'Segmented SAUC'!N$106)+'Segmented SAUC'!N$107*#REF!</f>
        <v>#REF!</v>
      </c>
      <c r="O133" s="289" t="e">
        <f>IF(#REF!&gt;0,'Segmented SAUC'!O$98)+'Segmented SAUC'!O$99*#REF!+IF(#REF!&gt;0,'Segmented SAUC'!O$102)+'Segmented SAUC'!O$103*#REF!+IF(#REF!&gt;0,'Segmented SAUC'!O$106)+'Segmented SAUC'!O$107*#REF!</f>
        <v>#REF!</v>
      </c>
      <c r="P133" s="289" t="e">
        <f>IF(#REF!&gt;0,'Segmented SAUC'!P$98)+'Segmented SAUC'!P$99*#REF!+IF(#REF!&gt;0,'Segmented SAUC'!P$102)+'Segmented SAUC'!P$103*#REF!+IF(#REF!&gt;0,'Segmented SAUC'!P$106)+'Segmented SAUC'!P$107*#REF!</f>
        <v>#REF!</v>
      </c>
      <c r="Q133" s="289" t="e">
        <f>IF(#REF!&gt;0,'Segmented SAUC'!Q$98)+'Segmented SAUC'!Q$99*#REF!+IF(#REF!&gt;0,'Segmented SAUC'!Q$102)+'Segmented SAUC'!Q$103*#REF!+IF(#REF!&gt;0,'Segmented SAUC'!Q$106)+'Segmented SAUC'!Q$107*#REF!</f>
        <v>#REF!</v>
      </c>
      <c r="R133" s="289" t="e">
        <f>IF(#REF!&gt;0,'Segmented SAUC'!R$98)+'Segmented SAUC'!R$99*#REF!+IF(#REF!&gt;0,'Segmented SAUC'!R$102)+'Segmented SAUC'!R$103*#REF!+IF(#REF!&gt;0,'Segmented SAUC'!R$106)+'Segmented SAUC'!R$107*#REF!</f>
        <v>#REF!</v>
      </c>
    </row>
    <row r="134" spans="1:18">
      <c r="A134" s="261" t="e">
        <f>#REF!</f>
        <v>#REF!</v>
      </c>
      <c r="B134" s="289"/>
      <c r="C134" s="289" t="e">
        <f>IF(#REF!&gt;0,'Segmented SAUC'!C$98)+'Segmented SAUC'!C$99*#REF!+IF(#REF!&gt;0,'Segmented SAUC'!C$102)+'Segmented SAUC'!C$103*#REF!+IF(#REF!&gt;0,'Segmented SAUC'!C$106)+'Segmented SAUC'!C$107*#REF!</f>
        <v>#REF!</v>
      </c>
      <c r="D134" s="289" t="e">
        <f>IF(#REF!&gt;0,'Segmented SAUC'!D$98)+'Segmented SAUC'!D$99*#REF!+IF(#REF!&gt;0,'Segmented SAUC'!D$102)+'Segmented SAUC'!D$103*#REF!+IF(#REF!&gt;0,'Segmented SAUC'!D$106)+'Segmented SAUC'!D$107*#REF!</f>
        <v>#REF!</v>
      </c>
      <c r="E134" s="289" t="e">
        <f>IF(#REF!&gt;0,'Segmented SAUC'!E$98)+'Segmented SAUC'!E$99*#REF!+IF(#REF!&gt;0,'Segmented SAUC'!E$102)+'Segmented SAUC'!E$103*#REF!+IF(#REF!&gt;0,'Segmented SAUC'!E$106)+'Segmented SAUC'!E$107*#REF!</f>
        <v>#REF!</v>
      </c>
      <c r="F134" s="289" t="e">
        <f>IF(#REF!&gt;0,'Segmented SAUC'!F$98)+'Segmented SAUC'!F$99*#REF!+IF(#REF!&gt;0,'Segmented SAUC'!F$102)+'Segmented SAUC'!F$103*#REF!+IF(#REF!&gt;0,'Segmented SAUC'!F$106)+'Segmented SAUC'!F$107*#REF!</f>
        <v>#REF!</v>
      </c>
      <c r="G134" s="289" t="e">
        <f>IF(#REF!&gt;0,'Segmented SAUC'!G$98)+'Segmented SAUC'!G$99*#REF!+IF(#REF!&gt;0,'Segmented SAUC'!G$102)+'Segmented SAUC'!G$103*#REF!+IF(#REF!&gt;0,'Segmented SAUC'!G$106)+'Segmented SAUC'!G$107*#REF!</f>
        <v>#REF!</v>
      </c>
      <c r="H134" s="289" t="e">
        <f>IF(#REF!&gt;0,'Segmented SAUC'!H$98)+'Segmented SAUC'!H$99*#REF!+IF(#REF!&gt;0,'Segmented SAUC'!H$102)+'Segmented SAUC'!H$103*#REF!+IF(#REF!&gt;0,'Segmented SAUC'!H$106)+'Segmented SAUC'!H$107*#REF!</f>
        <v>#REF!</v>
      </c>
      <c r="I134" s="290" t="e">
        <f>IF(#REF!&gt;0,'Segmented SAUC'!I$98)+'Segmented SAUC'!I$99*#REF!+IF(#REF!&gt;0,'Segmented SAUC'!I$102)+'Segmented SAUC'!I$103*#REF!+IF(#REF!&gt;0,'Segmented SAUC'!I$106)+'Segmented SAUC'!I$107*#REF!</f>
        <v>#REF!</v>
      </c>
      <c r="J134" s="289" t="e">
        <f>IF(#REF!&gt;0,'Segmented SAUC'!J$98)+'Segmented SAUC'!J$99*#REF!+IF(#REF!&gt;0,'Segmented SAUC'!J$102)+'Segmented SAUC'!J$103*#REF!+IF(#REF!&gt;0,'Segmented SAUC'!J$106)+'Segmented SAUC'!J$107*#REF!</f>
        <v>#REF!</v>
      </c>
      <c r="K134" s="289" t="e">
        <f>IF(#REF!&gt;0,'Segmented SAUC'!K$98)+'Segmented SAUC'!K$99*#REF!+IF(#REF!&gt;0,'Segmented SAUC'!K$102)+'Segmented SAUC'!K$103*#REF!+IF(#REF!&gt;0,'Segmented SAUC'!K$106)+'Segmented SAUC'!K$107*#REF!</f>
        <v>#REF!</v>
      </c>
      <c r="L134" s="289" t="e">
        <f>IF(#REF!&gt;0,'Segmented SAUC'!L$98)+'Segmented SAUC'!L$99*#REF!+IF(#REF!&gt;0,'Segmented SAUC'!L$102)+'Segmented SAUC'!L$103*#REF!+IF(#REF!&gt;0,'Segmented SAUC'!L$106)+'Segmented SAUC'!L$107*#REF!</f>
        <v>#REF!</v>
      </c>
      <c r="M134" s="289" t="e">
        <f>IF(#REF!&gt;0,'Segmented SAUC'!M$98)+'Segmented SAUC'!M$99*#REF!+IF(#REF!&gt;0,'Segmented SAUC'!M$102)+'Segmented SAUC'!M$103*#REF!+IF(#REF!&gt;0,'Segmented SAUC'!M$106)+'Segmented SAUC'!M$107*#REF!</f>
        <v>#REF!</v>
      </c>
      <c r="N134" s="289" t="e">
        <f>IF(#REF!&gt;0,'Segmented SAUC'!N$98)+'Segmented SAUC'!N$99*#REF!+IF(#REF!&gt;0,'Segmented SAUC'!N$102)+'Segmented SAUC'!N$103*#REF!+IF(#REF!&gt;0,'Segmented SAUC'!N$106)+'Segmented SAUC'!N$107*#REF!</f>
        <v>#REF!</v>
      </c>
      <c r="O134" s="289" t="e">
        <f>IF(#REF!&gt;0,'Segmented SAUC'!O$98)+'Segmented SAUC'!O$99*#REF!+IF(#REF!&gt;0,'Segmented SAUC'!O$102)+'Segmented SAUC'!O$103*#REF!+IF(#REF!&gt;0,'Segmented SAUC'!O$106)+'Segmented SAUC'!O$107*#REF!</f>
        <v>#REF!</v>
      </c>
      <c r="P134" s="289" t="e">
        <f>IF(#REF!&gt;0,'Segmented SAUC'!P$98)+'Segmented SAUC'!P$99*#REF!+IF(#REF!&gt;0,'Segmented SAUC'!P$102)+'Segmented SAUC'!P$103*#REF!+IF(#REF!&gt;0,'Segmented SAUC'!P$106)+'Segmented SAUC'!P$107*#REF!</f>
        <v>#REF!</v>
      </c>
      <c r="Q134" s="289" t="e">
        <f>IF(#REF!&gt;0,'Segmented SAUC'!Q$98)+'Segmented SAUC'!Q$99*#REF!+IF(#REF!&gt;0,'Segmented SAUC'!Q$102)+'Segmented SAUC'!Q$103*#REF!+IF(#REF!&gt;0,'Segmented SAUC'!Q$106)+'Segmented SAUC'!Q$107*#REF!</f>
        <v>#REF!</v>
      </c>
      <c r="R134" s="289" t="e">
        <f>IF(#REF!&gt;0,'Segmented SAUC'!R$98)+'Segmented SAUC'!R$99*#REF!+IF(#REF!&gt;0,'Segmented SAUC'!R$102)+'Segmented SAUC'!R$103*#REF!+IF(#REF!&gt;0,'Segmented SAUC'!R$106)+'Segmented SAUC'!R$107*#REF!</f>
        <v>#REF!</v>
      </c>
    </row>
    <row r="135" spans="1:18">
      <c r="A135" s="261" t="e">
        <f>#REF!</f>
        <v>#REF!</v>
      </c>
      <c r="B135" s="289"/>
      <c r="C135" s="289" t="e">
        <f>IF(#REF!&gt;0,'Segmented SAUC'!C$98)+'Segmented SAUC'!C$99*#REF!+IF(#REF!&gt;0,'Segmented SAUC'!C$102)+'Segmented SAUC'!C$103*#REF!+IF(#REF!&gt;0,'Segmented SAUC'!C$106)+'Segmented SAUC'!C$107*#REF!</f>
        <v>#REF!</v>
      </c>
      <c r="D135" s="289" t="e">
        <f>IF(#REF!&gt;0,'Segmented SAUC'!D$98)+'Segmented SAUC'!D$99*#REF!+IF(#REF!&gt;0,'Segmented SAUC'!D$102)+'Segmented SAUC'!D$103*#REF!+IF(#REF!&gt;0,'Segmented SAUC'!D$106)+'Segmented SAUC'!D$107*#REF!</f>
        <v>#REF!</v>
      </c>
      <c r="E135" s="289" t="e">
        <f>IF(#REF!&gt;0,'Segmented SAUC'!E$98)+'Segmented SAUC'!E$99*#REF!+IF(#REF!&gt;0,'Segmented SAUC'!E$102)+'Segmented SAUC'!E$103*#REF!+IF(#REF!&gt;0,'Segmented SAUC'!E$106)+'Segmented SAUC'!E$107*#REF!</f>
        <v>#REF!</v>
      </c>
      <c r="F135" s="289" t="e">
        <f>IF(#REF!&gt;0,'Segmented SAUC'!F$98)+'Segmented SAUC'!F$99*#REF!+IF(#REF!&gt;0,'Segmented SAUC'!F$102)+'Segmented SAUC'!F$103*#REF!+IF(#REF!&gt;0,'Segmented SAUC'!F$106)+'Segmented SAUC'!F$107*#REF!</f>
        <v>#REF!</v>
      </c>
      <c r="G135" s="289" t="e">
        <f>IF(#REF!&gt;0,'Segmented SAUC'!G$98)+'Segmented SAUC'!G$99*#REF!+IF(#REF!&gt;0,'Segmented SAUC'!G$102)+'Segmented SAUC'!G$103*#REF!+IF(#REF!&gt;0,'Segmented SAUC'!G$106)+'Segmented SAUC'!G$107*#REF!</f>
        <v>#REF!</v>
      </c>
      <c r="H135" s="289" t="e">
        <f>IF(#REF!&gt;0,'Segmented SAUC'!H$98)+'Segmented SAUC'!H$99*#REF!+IF(#REF!&gt;0,'Segmented SAUC'!H$102)+'Segmented SAUC'!H$103*#REF!+IF(#REF!&gt;0,'Segmented SAUC'!H$106)+'Segmented SAUC'!H$107*#REF!</f>
        <v>#REF!</v>
      </c>
      <c r="I135" s="290" t="e">
        <f>IF(#REF!&gt;0,'Segmented SAUC'!I$98)+'Segmented SAUC'!I$99*#REF!+IF(#REF!&gt;0,'Segmented SAUC'!I$102)+'Segmented SAUC'!I$103*#REF!+IF(#REF!&gt;0,'Segmented SAUC'!I$106)+'Segmented SAUC'!I$107*#REF!</f>
        <v>#REF!</v>
      </c>
      <c r="J135" s="289" t="e">
        <f>IF(#REF!&gt;0,'Segmented SAUC'!J$98)+'Segmented SAUC'!J$99*#REF!+IF(#REF!&gt;0,'Segmented SAUC'!J$102)+'Segmented SAUC'!J$103*#REF!+IF(#REF!&gt;0,'Segmented SAUC'!J$106)+'Segmented SAUC'!J$107*#REF!</f>
        <v>#REF!</v>
      </c>
      <c r="K135" s="289" t="e">
        <f>IF(#REF!&gt;0,'Segmented SAUC'!K$98)+'Segmented SAUC'!K$99*#REF!+IF(#REF!&gt;0,'Segmented SAUC'!K$102)+'Segmented SAUC'!K$103*#REF!+IF(#REF!&gt;0,'Segmented SAUC'!K$106)+'Segmented SAUC'!K$107*#REF!</f>
        <v>#REF!</v>
      </c>
      <c r="L135" s="289" t="e">
        <f>IF(#REF!&gt;0,'Segmented SAUC'!L$98)+'Segmented SAUC'!L$99*#REF!+IF(#REF!&gt;0,'Segmented SAUC'!L$102)+'Segmented SAUC'!L$103*#REF!+IF(#REF!&gt;0,'Segmented SAUC'!L$106)+'Segmented SAUC'!L$107*#REF!</f>
        <v>#REF!</v>
      </c>
      <c r="M135" s="289" t="e">
        <f>IF(#REF!&gt;0,'Segmented SAUC'!M$98)+'Segmented SAUC'!M$99*#REF!+IF(#REF!&gt;0,'Segmented SAUC'!M$102)+'Segmented SAUC'!M$103*#REF!+IF(#REF!&gt;0,'Segmented SAUC'!M$106)+'Segmented SAUC'!M$107*#REF!</f>
        <v>#REF!</v>
      </c>
      <c r="N135" s="289" t="e">
        <f>IF(#REF!&gt;0,'Segmented SAUC'!N$98)+'Segmented SAUC'!N$99*#REF!+IF(#REF!&gt;0,'Segmented SAUC'!N$102)+'Segmented SAUC'!N$103*#REF!+IF(#REF!&gt;0,'Segmented SAUC'!N$106)+'Segmented SAUC'!N$107*#REF!</f>
        <v>#REF!</v>
      </c>
      <c r="O135" s="289" t="e">
        <f>IF(#REF!&gt;0,'Segmented SAUC'!O$98)+'Segmented SAUC'!O$99*#REF!+IF(#REF!&gt;0,'Segmented SAUC'!O$102)+'Segmented SAUC'!O$103*#REF!+IF(#REF!&gt;0,'Segmented SAUC'!O$106)+'Segmented SAUC'!O$107*#REF!</f>
        <v>#REF!</v>
      </c>
      <c r="P135" s="289" t="e">
        <f>IF(#REF!&gt;0,'Segmented SAUC'!P$98)+'Segmented SAUC'!P$99*#REF!+IF(#REF!&gt;0,'Segmented SAUC'!P$102)+'Segmented SAUC'!P$103*#REF!+IF(#REF!&gt;0,'Segmented SAUC'!P$106)+'Segmented SAUC'!P$107*#REF!</f>
        <v>#REF!</v>
      </c>
      <c r="Q135" s="289" t="e">
        <f>IF(#REF!&gt;0,'Segmented SAUC'!Q$98)+'Segmented SAUC'!Q$99*#REF!+IF(#REF!&gt;0,'Segmented SAUC'!Q$102)+'Segmented SAUC'!Q$103*#REF!+IF(#REF!&gt;0,'Segmented SAUC'!Q$106)+'Segmented SAUC'!Q$107*#REF!</f>
        <v>#REF!</v>
      </c>
      <c r="R135" s="289" t="e">
        <f>IF(#REF!&gt;0,'Segmented SAUC'!R$98)+'Segmented SAUC'!R$99*#REF!+IF(#REF!&gt;0,'Segmented SAUC'!R$102)+'Segmented SAUC'!R$103*#REF!+IF(#REF!&gt;0,'Segmented SAUC'!R$106)+'Segmented SAUC'!R$107*#REF!</f>
        <v>#REF!</v>
      </c>
    </row>
    <row r="136" spans="1:18">
      <c r="A136" s="261" t="e">
        <f>#REF!</f>
        <v>#REF!</v>
      </c>
      <c r="B136" s="289"/>
      <c r="C136" s="289" t="e">
        <f>IF(#REF!&gt;0,'Segmented SAUC'!C$98)+'Segmented SAUC'!C$99*#REF!+IF(#REF!&gt;0,'Segmented SAUC'!C$102)+'Segmented SAUC'!C$103*#REF!+IF(#REF!&gt;0,'Segmented SAUC'!C$106)+'Segmented SAUC'!C$107*#REF!</f>
        <v>#REF!</v>
      </c>
      <c r="D136" s="289" t="e">
        <f>IF(#REF!&gt;0,'Segmented SAUC'!D$98)+'Segmented SAUC'!D$99*#REF!+IF(#REF!&gt;0,'Segmented SAUC'!D$102)+'Segmented SAUC'!D$103*#REF!+IF(#REF!&gt;0,'Segmented SAUC'!D$106)+'Segmented SAUC'!D$107*#REF!</f>
        <v>#REF!</v>
      </c>
      <c r="E136" s="289" t="e">
        <f>IF(#REF!&gt;0,'Segmented SAUC'!E$98)+'Segmented SAUC'!E$99*#REF!+IF(#REF!&gt;0,'Segmented SAUC'!E$102)+'Segmented SAUC'!E$103*#REF!+IF(#REF!&gt;0,'Segmented SAUC'!E$106)+'Segmented SAUC'!E$107*#REF!</f>
        <v>#REF!</v>
      </c>
      <c r="F136" s="289" t="e">
        <f>IF(#REF!&gt;0,'Segmented SAUC'!F$98)+'Segmented SAUC'!F$99*#REF!+IF(#REF!&gt;0,'Segmented SAUC'!F$102)+'Segmented SAUC'!F$103*#REF!+IF(#REF!&gt;0,'Segmented SAUC'!F$106)+'Segmented SAUC'!F$107*#REF!</f>
        <v>#REF!</v>
      </c>
      <c r="G136" s="289" t="e">
        <f>IF(#REF!&gt;0,'Segmented SAUC'!G$98)+'Segmented SAUC'!G$99*#REF!+IF(#REF!&gt;0,'Segmented SAUC'!G$102)+'Segmented SAUC'!G$103*#REF!+IF(#REF!&gt;0,'Segmented SAUC'!G$106)+'Segmented SAUC'!G$107*#REF!</f>
        <v>#REF!</v>
      </c>
      <c r="H136" s="289" t="e">
        <f>IF(#REF!&gt;0,'Segmented SAUC'!H$98)+'Segmented SAUC'!H$99*#REF!+IF(#REF!&gt;0,'Segmented SAUC'!H$102)+'Segmented SAUC'!H$103*#REF!+IF(#REF!&gt;0,'Segmented SAUC'!H$106)+'Segmented SAUC'!H$107*#REF!</f>
        <v>#REF!</v>
      </c>
      <c r="I136" s="290" t="e">
        <f>IF(#REF!&gt;0,'Segmented SAUC'!I$98)+'Segmented SAUC'!I$99*#REF!+IF(#REF!&gt;0,'Segmented SAUC'!I$102)+'Segmented SAUC'!I$103*#REF!+IF(#REF!&gt;0,'Segmented SAUC'!I$106)+'Segmented SAUC'!I$107*#REF!</f>
        <v>#REF!</v>
      </c>
      <c r="J136" s="289" t="e">
        <f>IF(#REF!&gt;0,'Segmented SAUC'!J$98)+'Segmented SAUC'!J$99*#REF!+IF(#REF!&gt;0,'Segmented SAUC'!J$102)+'Segmented SAUC'!J$103*#REF!+IF(#REF!&gt;0,'Segmented SAUC'!J$106)+'Segmented SAUC'!J$107*#REF!</f>
        <v>#REF!</v>
      </c>
      <c r="K136" s="289" t="e">
        <f>IF(#REF!&gt;0,'Segmented SAUC'!K$98)+'Segmented SAUC'!K$99*#REF!+IF(#REF!&gt;0,'Segmented SAUC'!K$102)+'Segmented SAUC'!K$103*#REF!+IF(#REF!&gt;0,'Segmented SAUC'!K$106)+'Segmented SAUC'!K$107*#REF!</f>
        <v>#REF!</v>
      </c>
      <c r="L136" s="289" t="e">
        <f>IF(#REF!&gt;0,'Segmented SAUC'!L$98)+'Segmented SAUC'!L$99*#REF!+IF(#REF!&gt;0,'Segmented SAUC'!L$102)+'Segmented SAUC'!L$103*#REF!+IF(#REF!&gt;0,'Segmented SAUC'!L$106)+'Segmented SAUC'!L$107*#REF!</f>
        <v>#REF!</v>
      </c>
      <c r="M136" s="289" t="e">
        <f>IF(#REF!&gt;0,'Segmented SAUC'!M$98)+'Segmented SAUC'!M$99*#REF!+IF(#REF!&gt;0,'Segmented SAUC'!M$102)+'Segmented SAUC'!M$103*#REF!+IF(#REF!&gt;0,'Segmented SAUC'!M$106)+'Segmented SAUC'!M$107*#REF!</f>
        <v>#REF!</v>
      </c>
      <c r="N136" s="289" t="e">
        <f>IF(#REF!&gt;0,'Segmented SAUC'!N$98)+'Segmented SAUC'!N$99*#REF!+IF(#REF!&gt;0,'Segmented SAUC'!N$102)+'Segmented SAUC'!N$103*#REF!+IF(#REF!&gt;0,'Segmented SAUC'!N$106)+'Segmented SAUC'!N$107*#REF!</f>
        <v>#REF!</v>
      </c>
      <c r="O136" s="289" t="e">
        <f>IF(#REF!&gt;0,'Segmented SAUC'!O$98)+'Segmented SAUC'!O$99*#REF!+IF(#REF!&gt;0,'Segmented SAUC'!O$102)+'Segmented SAUC'!O$103*#REF!+IF(#REF!&gt;0,'Segmented SAUC'!O$106)+'Segmented SAUC'!O$107*#REF!</f>
        <v>#REF!</v>
      </c>
      <c r="P136" s="289" t="e">
        <f>IF(#REF!&gt;0,'Segmented SAUC'!P$98)+'Segmented SAUC'!P$99*#REF!+IF(#REF!&gt;0,'Segmented SAUC'!P$102)+'Segmented SAUC'!P$103*#REF!+IF(#REF!&gt;0,'Segmented SAUC'!P$106)+'Segmented SAUC'!P$107*#REF!</f>
        <v>#REF!</v>
      </c>
      <c r="Q136" s="289" t="e">
        <f>IF(#REF!&gt;0,'Segmented SAUC'!Q$98)+'Segmented SAUC'!Q$99*#REF!+IF(#REF!&gt;0,'Segmented SAUC'!Q$102)+'Segmented SAUC'!Q$103*#REF!+IF(#REF!&gt;0,'Segmented SAUC'!Q$106)+'Segmented SAUC'!Q$107*#REF!</f>
        <v>#REF!</v>
      </c>
      <c r="R136" s="289" t="e">
        <f>IF(#REF!&gt;0,'Segmented SAUC'!R$98)+'Segmented SAUC'!R$99*#REF!+IF(#REF!&gt;0,'Segmented SAUC'!R$102)+'Segmented SAUC'!R$103*#REF!+IF(#REF!&gt;0,'Segmented SAUC'!R$106)+'Segmented SAUC'!R$107*#REF!</f>
        <v>#REF!</v>
      </c>
    </row>
    <row r="137" spans="1:18">
      <c r="A137" s="261" t="e">
        <f>#REF!</f>
        <v>#REF!</v>
      </c>
      <c r="B137" s="289"/>
      <c r="C137" s="289" t="e">
        <f>IF(#REF!&gt;0,'Segmented SAUC'!C$98)+'Segmented SAUC'!C$99*#REF!+IF(#REF!&gt;0,'Segmented SAUC'!C$102)+'Segmented SAUC'!C$103*#REF!+IF(#REF!&gt;0,'Segmented SAUC'!C$106)+'Segmented SAUC'!C$107*#REF!</f>
        <v>#REF!</v>
      </c>
      <c r="D137" s="289" t="e">
        <f>IF(#REF!&gt;0,'Segmented SAUC'!D$98)+'Segmented SAUC'!D$99*#REF!+IF(#REF!&gt;0,'Segmented SAUC'!D$102)+'Segmented SAUC'!D$103*#REF!+IF(#REF!&gt;0,'Segmented SAUC'!D$106)+'Segmented SAUC'!D$107*#REF!</f>
        <v>#REF!</v>
      </c>
      <c r="E137" s="289" t="e">
        <f>IF(#REF!&gt;0,'Segmented SAUC'!E$98)+'Segmented SAUC'!E$99*#REF!+IF(#REF!&gt;0,'Segmented SAUC'!E$102)+'Segmented SAUC'!E$103*#REF!+IF(#REF!&gt;0,'Segmented SAUC'!E$106)+'Segmented SAUC'!E$107*#REF!</f>
        <v>#REF!</v>
      </c>
      <c r="F137" s="289" t="e">
        <f>IF(#REF!&gt;0,'Segmented SAUC'!F$98)+'Segmented SAUC'!F$99*#REF!+IF(#REF!&gt;0,'Segmented SAUC'!F$102)+'Segmented SAUC'!F$103*#REF!+IF(#REF!&gt;0,'Segmented SAUC'!F$106)+'Segmented SAUC'!F$107*#REF!</f>
        <v>#REF!</v>
      </c>
      <c r="G137" s="289" t="e">
        <f>IF(#REF!&gt;0,'Segmented SAUC'!G$98)+'Segmented SAUC'!G$99*#REF!+IF(#REF!&gt;0,'Segmented SAUC'!G$102)+'Segmented SAUC'!G$103*#REF!+IF(#REF!&gt;0,'Segmented SAUC'!G$106)+'Segmented SAUC'!G$107*#REF!</f>
        <v>#REF!</v>
      </c>
      <c r="H137" s="289" t="e">
        <f>IF(#REF!&gt;0,'Segmented SAUC'!H$98)+'Segmented SAUC'!H$99*#REF!+IF(#REF!&gt;0,'Segmented SAUC'!H$102)+'Segmented SAUC'!H$103*#REF!+IF(#REF!&gt;0,'Segmented SAUC'!H$106)+'Segmented SAUC'!H$107*#REF!</f>
        <v>#REF!</v>
      </c>
      <c r="I137" s="290" t="e">
        <f>IF(#REF!&gt;0,'Segmented SAUC'!I$98)+'Segmented SAUC'!I$99*#REF!+IF(#REF!&gt;0,'Segmented SAUC'!I$102)+'Segmented SAUC'!I$103*#REF!+IF(#REF!&gt;0,'Segmented SAUC'!I$106)+'Segmented SAUC'!I$107*#REF!</f>
        <v>#REF!</v>
      </c>
      <c r="J137" s="289" t="e">
        <f>IF(#REF!&gt;0,'Segmented SAUC'!J$98)+'Segmented SAUC'!J$99*#REF!+IF(#REF!&gt;0,'Segmented SAUC'!J$102)+'Segmented SAUC'!J$103*#REF!+IF(#REF!&gt;0,'Segmented SAUC'!J$106)+'Segmented SAUC'!J$107*#REF!</f>
        <v>#REF!</v>
      </c>
      <c r="K137" s="289" t="e">
        <f>IF(#REF!&gt;0,'Segmented SAUC'!K$98)+'Segmented SAUC'!K$99*#REF!+IF(#REF!&gt;0,'Segmented SAUC'!K$102)+'Segmented SAUC'!K$103*#REF!+IF(#REF!&gt;0,'Segmented SAUC'!K$106)+'Segmented SAUC'!K$107*#REF!</f>
        <v>#REF!</v>
      </c>
      <c r="L137" s="289" t="e">
        <f>IF(#REF!&gt;0,'Segmented SAUC'!L$98)+'Segmented SAUC'!L$99*#REF!+IF(#REF!&gt;0,'Segmented SAUC'!L$102)+'Segmented SAUC'!L$103*#REF!+IF(#REF!&gt;0,'Segmented SAUC'!L$106)+'Segmented SAUC'!L$107*#REF!</f>
        <v>#REF!</v>
      </c>
      <c r="M137" s="289" t="e">
        <f>IF(#REF!&gt;0,'Segmented SAUC'!M$98)+'Segmented SAUC'!M$99*#REF!+IF(#REF!&gt;0,'Segmented SAUC'!M$102)+'Segmented SAUC'!M$103*#REF!+IF(#REF!&gt;0,'Segmented SAUC'!M$106)+'Segmented SAUC'!M$107*#REF!</f>
        <v>#REF!</v>
      </c>
      <c r="N137" s="289" t="e">
        <f>IF(#REF!&gt;0,'Segmented SAUC'!N$98)+'Segmented SAUC'!N$99*#REF!+IF(#REF!&gt;0,'Segmented SAUC'!N$102)+'Segmented SAUC'!N$103*#REF!+IF(#REF!&gt;0,'Segmented SAUC'!N$106)+'Segmented SAUC'!N$107*#REF!</f>
        <v>#REF!</v>
      </c>
      <c r="O137" s="289" t="e">
        <f>IF(#REF!&gt;0,'Segmented SAUC'!O$98)+'Segmented SAUC'!O$99*#REF!+IF(#REF!&gt;0,'Segmented SAUC'!O$102)+'Segmented SAUC'!O$103*#REF!+IF(#REF!&gt;0,'Segmented SAUC'!O$106)+'Segmented SAUC'!O$107*#REF!</f>
        <v>#REF!</v>
      </c>
      <c r="P137" s="289" t="e">
        <f>IF(#REF!&gt;0,'Segmented SAUC'!P$98)+'Segmented SAUC'!P$99*#REF!+IF(#REF!&gt;0,'Segmented SAUC'!P$102)+'Segmented SAUC'!P$103*#REF!+IF(#REF!&gt;0,'Segmented SAUC'!P$106)+'Segmented SAUC'!P$107*#REF!</f>
        <v>#REF!</v>
      </c>
      <c r="Q137" s="289" t="e">
        <f>IF(#REF!&gt;0,'Segmented SAUC'!Q$98)+'Segmented SAUC'!Q$99*#REF!+IF(#REF!&gt;0,'Segmented SAUC'!Q$102)+'Segmented SAUC'!Q$103*#REF!+IF(#REF!&gt;0,'Segmented SAUC'!Q$106)+'Segmented SAUC'!Q$107*#REF!</f>
        <v>#REF!</v>
      </c>
      <c r="R137" s="289" t="e">
        <f>IF(#REF!&gt;0,'Segmented SAUC'!R$98)+'Segmented SAUC'!R$99*#REF!+IF(#REF!&gt;0,'Segmented SAUC'!R$102)+'Segmented SAUC'!R$103*#REF!+IF(#REF!&gt;0,'Segmented SAUC'!R$106)+'Segmented SAUC'!R$107*#REF!</f>
        <v>#REF!</v>
      </c>
    </row>
    <row r="138" spans="1:18">
      <c r="A138" s="261" t="e">
        <f>#REF!</f>
        <v>#REF!</v>
      </c>
      <c r="B138" s="289"/>
      <c r="C138" s="289" t="e">
        <f>IF(#REF!&gt;0,'Segmented SAUC'!C$98)+'Segmented SAUC'!C$99*#REF!+IF(#REF!&gt;0,'Segmented SAUC'!C$102)+'Segmented SAUC'!C$103*#REF!+IF(#REF!&gt;0,'Segmented SAUC'!C$106)+'Segmented SAUC'!C$107*#REF!</f>
        <v>#REF!</v>
      </c>
      <c r="D138" s="289" t="e">
        <f>IF(#REF!&gt;0,'Segmented SAUC'!D$98)+'Segmented SAUC'!D$99*#REF!+IF(#REF!&gt;0,'Segmented SAUC'!D$102)+'Segmented SAUC'!D$103*#REF!+IF(#REF!&gt;0,'Segmented SAUC'!D$106)+'Segmented SAUC'!D$107*#REF!</f>
        <v>#REF!</v>
      </c>
      <c r="E138" s="289" t="e">
        <f>IF(#REF!&gt;0,'Segmented SAUC'!E$98)+'Segmented SAUC'!E$99*#REF!+IF(#REF!&gt;0,'Segmented SAUC'!E$102)+'Segmented SAUC'!E$103*#REF!+IF(#REF!&gt;0,'Segmented SAUC'!E$106)+'Segmented SAUC'!E$107*#REF!</f>
        <v>#REF!</v>
      </c>
      <c r="F138" s="289" t="e">
        <f>IF(#REF!&gt;0,'Segmented SAUC'!F$98)+'Segmented SAUC'!F$99*#REF!+IF(#REF!&gt;0,'Segmented SAUC'!F$102)+'Segmented SAUC'!F$103*#REF!+IF(#REF!&gt;0,'Segmented SAUC'!F$106)+'Segmented SAUC'!F$107*#REF!</f>
        <v>#REF!</v>
      </c>
      <c r="G138" s="289" t="e">
        <f>IF(#REF!&gt;0,'Segmented SAUC'!G$98)+'Segmented SAUC'!G$99*#REF!+IF(#REF!&gt;0,'Segmented SAUC'!G$102)+'Segmented SAUC'!G$103*#REF!+IF(#REF!&gt;0,'Segmented SAUC'!G$106)+'Segmented SAUC'!G$107*#REF!</f>
        <v>#REF!</v>
      </c>
      <c r="H138" s="289" t="e">
        <f>IF(#REF!&gt;0,'Segmented SAUC'!H$98)+'Segmented SAUC'!H$99*#REF!+IF(#REF!&gt;0,'Segmented SAUC'!H$102)+'Segmented SAUC'!H$103*#REF!+IF(#REF!&gt;0,'Segmented SAUC'!H$106)+'Segmented SAUC'!H$107*#REF!</f>
        <v>#REF!</v>
      </c>
      <c r="I138" s="290" t="e">
        <f>IF(#REF!&gt;0,'Segmented SAUC'!I$98)+'Segmented SAUC'!I$99*#REF!+IF(#REF!&gt;0,'Segmented SAUC'!I$102)+'Segmented SAUC'!I$103*#REF!+IF(#REF!&gt;0,'Segmented SAUC'!I$106)+'Segmented SAUC'!I$107*#REF!</f>
        <v>#REF!</v>
      </c>
      <c r="J138" s="289" t="e">
        <f>IF(#REF!&gt;0,'Segmented SAUC'!J$98)+'Segmented SAUC'!J$99*#REF!+IF(#REF!&gt;0,'Segmented SAUC'!J$102)+'Segmented SAUC'!J$103*#REF!+IF(#REF!&gt;0,'Segmented SAUC'!J$106)+'Segmented SAUC'!J$107*#REF!</f>
        <v>#REF!</v>
      </c>
      <c r="K138" s="289" t="e">
        <f>IF(#REF!&gt;0,'Segmented SAUC'!K$98)+'Segmented SAUC'!K$99*#REF!+IF(#REF!&gt;0,'Segmented SAUC'!K$102)+'Segmented SAUC'!K$103*#REF!+IF(#REF!&gt;0,'Segmented SAUC'!K$106)+'Segmented SAUC'!K$107*#REF!</f>
        <v>#REF!</v>
      </c>
      <c r="L138" s="289" t="e">
        <f>IF(#REF!&gt;0,'Segmented SAUC'!L$98)+'Segmented SAUC'!L$99*#REF!+IF(#REF!&gt;0,'Segmented SAUC'!L$102)+'Segmented SAUC'!L$103*#REF!+IF(#REF!&gt;0,'Segmented SAUC'!L$106)+'Segmented SAUC'!L$107*#REF!</f>
        <v>#REF!</v>
      </c>
      <c r="M138" s="289" t="e">
        <f>IF(#REF!&gt;0,'Segmented SAUC'!M$98)+'Segmented SAUC'!M$99*#REF!+IF(#REF!&gt;0,'Segmented SAUC'!M$102)+'Segmented SAUC'!M$103*#REF!+IF(#REF!&gt;0,'Segmented SAUC'!M$106)+'Segmented SAUC'!M$107*#REF!</f>
        <v>#REF!</v>
      </c>
      <c r="N138" s="289" t="e">
        <f>IF(#REF!&gt;0,'Segmented SAUC'!N$98)+'Segmented SAUC'!N$99*#REF!+IF(#REF!&gt;0,'Segmented SAUC'!N$102)+'Segmented SAUC'!N$103*#REF!+IF(#REF!&gt;0,'Segmented SAUC'!N$106)+'Segmented SAUC'!N$107*#REF!</f>
        <v>#REF!</v>
      </c>
      <c r="O138" s="289" t="e">
        <f>IF(#REF!&gt;0,'Segmented SAUC'!O$98)+'Segmented SAUC'!O$99*#REF!+IF(#REF!&gt;0,'Segmented SAUC'!O$102)+'Segmented SAUC'!O$103*#REF!+IF(#REF!&gt;0,'Segmented SAUC'!O$106)+'Segmented SAUC'!O$107*#REF!</f>
        <v>#REF!</v>
      </c>
      <c r="P138" s="289" t="e">
        <f>IF(#REF!&gt;0,'Segmented SAUC'!P$98)+'Segmented SAUC'!P$99*#REF!+IF(#REF!&gt;0,'Segmented SAUC'!P$102)+'Segmented SAUC'!P$103*#REF!+IF(#REF!&gt;0,'Segmented SAUC'!P$106)+'Segmented SAUC'!P$107*#REF!</f>
        <v>#REF!</v>
      </c>
      <c r="Q138" s="289" t="e">
        <f>IF(#REF!&gt;0,'Segmented SAUC'!Q$98)+'Segmented SAUC'!Q$99*#REF!+IF(#REF!&gt;0,'Segmented SAUC'!Q$102)+'Segmented SAUC'!Q$103*#REF!+IF(#REF!&gt;0,'Segmented SAUC'!Q$106)+'Segmented SAUC'!Q$107*#REF!</f>
        <v>#REF!</v>
      </c>
      <c r="R138" s="289" t="e">
        <f>IF(#REF!&gt;0,'Segmented SAUC'!R$98)+'Segmented SAUC'!R$99*#REF!+IF(#REF!&gt;0,'Segmented SAUC'!R$102)+'Segmented SAUC'!R$103*#REF!+IF(#REF!&gt;0,'Segmented SAUC'!R$106)+'Segmented SAUC'!R$107*#REF!</f>
        <v>#REF!</v>
      </c>
    </row>
    <row r="139" spans="1:18">
      <c r="A139" s="261" t="e">
        <f>#REF!</f>
        <v>#REF!</v>
      </c>
      <c r="B139" s="289"/>
      <c r="C139" s="289" t="e">
        <f>IF(#REF!&gt;0,'Segmented SAUC'!C$98)+'Segmented SAUC'!C$99*#REF!+IF(#REF!&gt;0,'Segmented SAUC'!C$102)+'Segmented SAUC'!C$103*#REF!+IF(#REF!&gt;0,'Segmented SAUC'!C$106)+'Segmented SAUC'!C$107*#REF!</f>
        <v>#REF!</v>
      </c>
      <c r="D139" s="289" t="e">
        <f>IF(#REF!&gt;0,'Segmented SAUC'!D$98)+'Segmented SAUC'!D$99*#REF!+IF(#REF!&gt;0,'Segmented SAUC'!D$102)+'Segmented SAUC'!D$103*#REF!+IF(#REF!&gt;0,'Segmented SAUC'!D$106)+'Segmented SAUC'!D$107*#REF!</f>
        <v>#REF!</v>
      </c>
      <c r="E139" s="289" t="e">
        <f>IF(#REF!&gt;0,'Segmented SAUC'!E$98)+'Segmented SAUC'!E$99*#REF!+IF(#REF!&gt;0,'Segmented SAUC'!E$102)+'Segmented SAUC'!E$103*#REF!+IF(#REF!&gt;0,'Segmented SAUC'!E$106)+'Segmented SAUC'!E$107*#REF!</f>
        <v>#REF!</v>
      </c>
      <c r="F139" s="289" t="e">
        <f>IF(#REF!&gt;0,'Segmented SAUC'!F$98)+'Segmented SAUC'!F$99*#REF!+IF(#REF!&gt;0,'Segmented SAUC'!F$102)+'Segmented SAUC'!F$103*#REF!+IF(#REF!&gt;0,'Segmented SAUC'!F$106)+'Segmented SAUC'!F$107*#REF!</f>
        <v>#REF!</v>
      </c>
      <c r="G139" s="289" t="e">
        <f>IF(#REF!&gt;0,'Segmented SAUC'!G$98)+'Segmented SAUC'!G$99*#REF!+IF(#REF!&gt;0,'Segmented SAUC'!G$102)+'Segmented SAUC'!G$103*#REF!+IF(#REF!&gt;0,'Segmented SAUC'!G$106)+'Segmented SAUC'!G$107*#REF!</f>
        <v>#REF!</v>
      </c>
      <c r="H139" s="289" t="e">
        <f>IF(#REF!&gt;0,'Segmented SAUC'!H$98)+'Segmented SAUC'!H$99*#REF!+IF(#REF!&gt;0,'Segmented SAUC'!H$102)+'Segmented SAUC'!H$103*#REF!+IF(#REF!&gt;0,'Segmented SAUC'!H$106)+'Segmented SAUC'!H$107*#REF!</f>
        <v>#REF!</v>
      </c>
      <c r="I139" s="290" t="e">
        <f>IF(#REF!&gt;0,'Segmented SAUC'!I$98)+'Segmented SAUC'!I$99*#REF!+IF(#REF!&gt;0,'Segmented SAUC'!I$102)+'Segmented SAUC'!I$103*#REF!+IF(#REF!&gt;0,'Segmented SAUC'!I$106)+'Segmented SAUC'!I$107*#REF!</f>
        <v>#REF!</v>
      </c>
      <c r="J139" s="289" t="e">
        <f>IF(#REF!&gt;0,'Segmented SAUC'!J$98)+'Segmented SAUC'!J$99*#REF!+IF(#REF!&gt;0,'Segmented SAUC'!J$102)+'Segmented SAUC'!J$103*#REF!+IF(#REF!&gt;0,'Segmented SAUC'!J$106)+'Segmented SAUC'!J$107*#REF!</f>
        <v>#REF!</v>
      </c>
      <c r="K139" s="289" t="e">
        <f>IF(#REF!&gt;0,'Segmented SAUC'!K$98)+'Segmented SAUC'!K$99*#REF!+IF(#REF!&gt;0,'Segmented SAUC'!K$102)+'Segmented SAUC'!K$103*#REF!+IF(#REF!&gt;0,'Segmented SAUC'!K$106)+'Segmented SAUC'!K$107*#REF!</f>
        <v>#REF!</v>
      </c>
      <c r="L139" s="289" t="e">
        <f>IF(#REF!&gt;0,'Segmented SAUC'!L$98)+'Segmented SAUC'!L$99*#REF!+IF(#REF!&gt;0,'Segmented SAUC'!L$102)+'Segmented SAUC'!L$103*#REF!+IF(#REF!&gt;0,'Segmented SAUC'!L$106)+'Segmented SAUC'!L$107*#REF!</f>
        <v>#REF!</v>
      </c>
      <c r="M139" s="289" t="e">
        <f>IF(#REF!&gt;0,'Segmented SAUC'!M$98)+'Segmented SAUC'!M$99*#REF!+IF(#REF!&gt;0,'Segmented SAUC'!M$102)+'Segmented SAUC'!M$103*#REF!+IF(#REF!&gt;0,'Segmented SAUC'!M$106)+'Segmented SAUC'!M$107*#REF!</f>
        <v>#REF!</v>
      </c>
      <c r="N139" s="289" t="e">
        <f>IF(#REF!&gt;0,'Segmented SAUC'!N$98)+'Segmented SAUC'!N$99*#REF!+IF(#REF!&gt;0,'Segmented SAUC'!N$102)+'Segmented SAUC'!N$103*#REF!+IF(#REF!&gt;0,'Segmented SAUC'!N$106)+'Segmented SAUC'!N$107*#REF!</f>
        <v>#REF!</v>
      </c>
      <c r="O139" s="289" t="e">
        <f>IF(#REF!&gt;0,'Segmented SAUC'!O$98)+'Segmented SAUC'!O$99*#REF!+IF(#REF!&gt;0,'Segmented SAUC'!O$102)+'Segmented SAUC'!O$103*#REF!+IF(#REF!&gt;0,'Segmented SAUC'!O$106)+'Segmented SAUC'!O$107*#REF!</f>
        <v>#REF!</v>
      </c>
      <c r="P139" s="289" t="e">
        <f>IF(#REF!&gt;0,'Segmented SAUC'!P$98)+'Segmented SAUC'!P$99*#REF!+IF(#REF!&gt;0,'Segmented SAUC'!P$102)+'Segmented SAUC'!P$103*#REF!+IF(#REF!&gt;0,'Segmented SAUC'!P$106)+'Segmented SAUC'!P$107*#REF!</f>
        <v>#REF!</v>
      </c>
      <c r="Q139" s="289" t="e">
        <f>IF(#REF!&gt;0,'Segmented SAUC'!Q$98)+'Segmented SAUC'!Q$99*#REF!+IF(#REF!&gt;0,'Segmented SAUC'!Q$102)+'Segmented SAUC'!Q$103*#REF!+IF(#REF!&gt;0,'Segmented SAUC'!Q$106)+'Segmented SAUC'!Q$107*#REF!</f>
        <v>#REF!</v>
      </c>
      <c r="R139" s="289" t="e">
        <f>IF(#REF!&gt;0,'Segmented SAUC'!R$98)+'Segmented SAUC'!R$99*#REF!+IF(#REF!&gt;0,'Segmented SAUC'!R$102)+'Segmented SAUC'!R$103*#REF!+IF(#REF!&gt;0,'Segmented SAUC'!R$106)+'Segmented SAUC'!R$107*#REF!</f>
        <v>#REF!</v>
      </c>
    </row>
    <row r="140" spans="1:18">
      <c r="A140" s="261" t="e">
        <f>#REF!</f>
        <v>#REF!</v>
      </c>
      <c r="B140" s="289"/>
      <c r="C140" s="289" t="e">
        <f>IF(#REF!&gt;0,'Segmented SAUC'!C$98)+'Segmented SAUC'!C$99*#REF!+IF(#REF!&gt;0,'Segmented SAUC'!C$102)+'Segmented SAUC'!C$103*#REF!+IF(#REF!&gt;0,'Segmented SAUC'!C$106)+'Segmented SAUC'!C$107*#REF!</f>
        <v>#REF!</v>
      </c>
      <c r="D140" s="289" t="e">
        <f>IF(#REF!&gt;0,'Segmented SAUC'!D$98)+'Segmented SAUC'!D$99*#REF!+IF(#REF!&gt;0,'Segmented SAUC'!D$102)+'Segmented SAUC'!D$103*#REF!+IF(#REF!&gt;0,'Segmented SAUC'!D$106)+'Segmented SAUC'!D$107*#REF!</f>
        <v>#REF!</v>
      </c>
      <c r="E140" s="289" t="e">
        <f>IF(#REF!&gt;0,'Segmented SAUC'!E$98)+'Segmented SAUC'!E$99*#REF!+IF(#REF!&gt;0,'Segmented SAUC'!E$102)+'Segmented SAUC'!E$103*#REF!+IF(#REF!&gt;0,'Segmented SAUC'!E$106)+'Segmented SAUC'!E$107*#REF!</f>
        <v>#REF!</v>
      </c>
      <c r="F140" s="289" t="e">
        <f>IF(#REF!&gt;0,'Segmented SAUC'!F$98)+'Segmented SAUC'!F$99*#REF!+IF(#REF!&gt;0,'Segmented SAUC'!F$102)+'Segmented SAUC'!F$103*#REF!+IF(#REF!&gt;0,'Segmented SAUC'!F$106)+'Segmented SAUC'!F$107*#REF!</f>
        <v>#REF!</v>
      </c>
      <c r="G140" s="289" t="e">
        <f>IF(#REF!&gt;0,'Segmented SAUC'!G$98)+'Segmented SAUC'!G$99*#REF!+IF(#REF!&gt;0,'Segmented SAUC'!G$102)+'Segmented SAUC'!G$103*#REF!+IF(#REF!&gt;0,'Segmented SAUC'!G$106)+'Segmented SAUC'!G$107*#REF!</f>
        <v>#REF!</v>
      </c>
      <c r="H140" s="289" t="e">
        <f>IF(#REF!&gt;0,'Segmented SAUC'!H$98)+'Segmented SAUC'!H$99*#REF!+IF(#REF!&gt;0,'Segmented SAUC'!H$102)+'Segmented SAUC'!H$103*#REF!+IF(#REF!&gt;0,'Segmented SAUC'!H$106)+'Segmented SAUC'!H$107*#REF!</f>
        <v>#REF!</v>
      </c>
      <c r="I140" s="290" t="e">
        <f>IF(#REF!&gt;0,'Segmented SAUC'!I$98)+'Segmented SAUC'!I$99*#REF!+IF(#REF!&gt;0,'Segmented SAUC'!I$102)+'Segmented SAUC'!I$103*#REF!+IF(#REF!&gt;0,'Segmented SAUC'!I$106)+'Segmented SAUC'!I$107*#REF!</f>
        <v>#REF!</v>
      </c>
      <c r="J140" s="289" t="e">
        <f>IF(#REF!&gt;0,'Segmented SAUC'!J$98)+'Segmented SAUC'!J$99*#REF!+IF(#REF!&gt;0,'Segmented SAUC'!J$102)+'Segmented SAUC'!J$103*#REF!+IF(#REF!&gt;0,'Segmented SAUC'!J$106)+'Segmented SAUC'!J$107*#REF!</f>
        <v>#REF!</v>
      </c>
      <c r="K140" s="289" t="e">
        <f>IF(#REF!&gt;0,'Segmented SAUC'!K$98)+'Segmented SAUC'!K$99*#REF!+IF(#REF!&gt;0,'Segmented SAUC'!K$102)+'Segmented SAUC'!K$103*#REF!+IF(#REF!&gt;0,'Segmented SAUC'!K$106)+'Segmented SAUC'!K$107*#REF!</f>
        <v>#REF!</v>
      </c>
      <c r="L140" s="289" t="e">
        <f>IF(#REF!&gt;0,'Segmented SAUC'!L$98)+'Segmented SAUC'!L$99*#REF!+IF(#REF!&gt;0,'Segmented SAUC'!L$102)+'Segmented SAUC'!L$103*#REF!+IF(#REF!&gt;0,'Segmented SAUC'!L$106)+'Segmented SAUC'!L$107*#REF!</f>
        <v>#REF!</v>
      </c>
      <c r="M140" s="289" t="e">
        <f>IF(#REF!&gt;0,'Segmented SAUC'!M$98)+'Segmented SAUC'!M$99*#REF!+IF(#REF!&gt;0,'Segmented SAUC'!M$102)+'Segmented SAUC'!M$103*#REF!+IF(#REF!&gt;0,'Segmented SAUC'!M$106)+'Segmented SAUC'!M$107*#REF!</f>
        <v>#REF!</v>
      </c>
      <c r="N140" s="289" t="e">
        <f>IF(#REF!&gt;0,'Segmented SAUC'!N$98)+'Segmented SAUC'!N$99*#REF!+IF(#REF!&gt;0,'Segmented SAUC'!N$102)+'Segmented SAUC'!N$103*#REF!+IF(#REF!&gt;0,'Segmented SAUC'!N$106)+'Segmented SAUC'!N$107*#REF!</f>
        <v>#REF!</v>
      </c>
      <c r="O140" s="289" t="e">
        <f>IF(#REF!&gt;0,'Segmented SAUC'!O$98)+'Segmented SAUC'!O$99*#REF!+IF(#REF!&gt;0,'Segmented SAUC'!O$102)+'Segmented SAUC'!O$103*#REF!+IF(#REF!&gt;0,'Segmented SAUC'!O$106)+'Segmented SAUC'!O$107*#REF!</f>
        <v>#REF!</v>
      </c>
      <c r="P140" s="289" t="e">
        <f>IF(#REF!&gt;0,'Segmented SAUC'!P$98)+'Segmented SAUC'!P$99*#REF!+IF(#REF!&gt;0,'Segmented SAUC'!P$102)+'Segmented SAUC'!P$103*#REF!+IF(#REF!&gt;0,'Segmented SAUC'!P$106)+'Segmented SAUC'!P$107*#REF!</f>
        <v>#REF!</v>
      </c>
      <c r="Q140" s="289" t="e">
        <f>IF(#REF!&gt;0,'Segmented SAUC'!Q$98)+'Segmented SAUC'!Q$99*#REF!+IF(#REF!&gt;0,'Segmented SAUC'!Q$102)+'Segmented SAUC'!Q$103*#REF!+IF(#REF!&gt;0,'Segmented SAUC'!Q$106)+'Segmented SAUC'!Q$107*#REF!</f>
        <v>#REF!</v>
      </c>
      <c r="R140" s="289" t="e">
        <f>IF(#REF!&gt;0,'Segmented SAUC'!R$98)+'Segmented SAUC'!R$99*#REF!+IF(#REF!&gt;0,'Segmented SAUC'!R$102)+'Segmented SAUC'!R$103*#REF!+IF(#REF!&gt;0,'Segmented SAUC'!R$106)+'Segmented SAUC'!R$107*#REF!</f>
        <v>#REF!</v>
      </c>
    </row>
    <row r="141" spans="1:18">
      <c r="A141" s="261" t="e">
        <f>#REF!</f>
        <v>#REF!</v>
      </c>
      <c r="B141" s="289"/>
      <c r="C141" s="289" t="e">
        <f>IF(#REF!&gt;0,'Segmented SAUC'!C$98)+'Segmented SAUC'!C$99*#REF!+IF(#REF!&gt;0,'Segmented SAUC'!C$102)+'Segmented SAUC'!C$103*#REF!+IF(#REF!&gt;0,'Segmented SAUC'!C$106)+'Segmented SAUC'!C$107*#REF!</f>
        <v>#REF!</v>
      </c>
      <c r="D141" s="289" t="e">
        <f>IF(#REF!&gt;0,'Segmented SAUC'!D$98)+'Segmented SAUC'!D$99*#REF!+IF(#REF!&gt;0,'Segmented SAUC'!D$102)+'Segmented SAUC'!D$103*#REF!+IF(#REF!&gt;0,'Segmented SAUC'!D$106)+'Segmented SAUC'!D$107*#REF!</f>
        <v>#REF!</v>
      </c>
      <c r="E141" s="289" t="e">
        <f>IF(#REF!&gt;0,'Segmented SAUC'!E$98)+'Segmented SAUC'!E$99*#REF!+IF(#REF!&gt;0,'Segmented SAUC'!E$102)+'Segmented SAUC'!E$103*#REF!+IF(#REF!&gt;0,'Segmented SAUC'!E$106)+'Segmented SAUC'!E$107*#REF!</f>
        <v>#REF!</v>
      </c>
      <c r="F141" s="289" t="e">
        <f>IF(#REF!&gt;0,'Segmented SAUC'!F$98)+'Segmented SAUC'!F$99*#REF!+IF(#REF!&gt;0,'Segmented SAUC'!F$102)+'Segmented SAUC'!F$103*#REF!+IF(#REF!&gt;0,'Segmented SAUC'!F$106)+'Segmented SAUC'!F$107*#REF!</f>
        <v>#REF!</v>
      </c>
      <c r="G141" s="289" t="e">
        <f>IF(#REF!&gt;0,'Segmented SAUC'!G$98)+'Segmented SAUC'!G$99*#REF!+IF(#REF!&gt;0,'Segmented SAUC'!G$102)+'Segmented SAUC'!G$103*#REF!+IF(#REF!&gt;0,'Segmented SAUC'!G$106)+'Segmented SAUC'!G$107*#REF!</f>
        <v>#REF!</v>
      </c>
      <c r="H141" s="289" t="e">
        <f>IF(#REF!&gt;0,'Segmented SAUC'!H$98)+'Segmented SAUC'!H$99*#REF!+IF(#REF!&gt;0,'Segmented SAUC'!H$102)+'Segmented SAUC'!H$103*#REF!+IF(#REF!&gt;0,'Segmented SAUC'!H$106)+'Segmented SAUC'!H$107*#REF!</f>
        <v>#REF!</v>
      </c>
      <c r="I141" s="290" t="e">
        <f>IF(#REF!&gt;0,'Segmented SAUC'!I$98)+'Segmented SAUC'!I$99*#REF!+IF(#REF!&gt;0,'Segmented SAUC'!I$102)+'Segmented SAUC'!I$103*#REF!+IF(#REF!&gt;0,'Segmented SAUC'!I$106)+'Segmented SAUC'!I$107*#REF!</f>
        <v>#REF!</v>
      </c>
      <c r="J141" s="289" t="e">
        <f>IF(#REF!&gt;0,'Segmented SAUC'!J$98)+'Segmented SAUC'!J$99*#REF!+IF(#REF!&gt;0,'Segmented SAUC'!J$102)+'Segmented SAUC'!J$103*#REF!+IF(#REF!&gt;0,'Segmented SAUC'!J$106)+'Segmented SAUC'!J$107*#REF!</f>
        <v>#REF!</v>
      </c>
      <c r="K141" s="289" t="e">
        <f>IF(#REF!&gt;0,'Segmented SAUC'!K$98)+'Segmented SAUC'!K$99*#REF!+IF(#REF!&gt;0,'Segmented SAUC'!K$102)+'Segmented SAUC'!K$103*#REF!+IF(#REF!&gt;0,'Segmented SAUC'!K$106)+'Segmented SAUC'!K$107*#REF!</f>
        <v>#REF!</v>
      </c>
      <c r="L141" s="289" t="e">
        <f>IF(#REF!&gt;0,'Segmented SAUC'!L$98)+'Segmented SAUC'!L$99*#REF!+IF(#REF!&gt;0,'Segmented SAUC'!L$102)+'Segmented SAUC'!L$103*#REF!+IF(#REF!&gt;0,'Segmented SAUC'!L$106)+'Segmented SAUC'!L$107*#REF!</f>
        <v>#REF!</v>
      </c>
      <c r="M141" s="289" t="e">
        <f>IF(#REF!&gt;0,'Segmented SAUC'!M$98)+'Segmented SAUC'!M$99*#REF!+IF(#REF!&gt;0,'Segmented SAUC'!M$102)+'Segmented SAUC'!M$103*#REF!+IF(#REF!&gt;0,'Segmented SAUC'!M$106)+'Segmented SAUC'!M$107*#REF!</f>
        <v>#REF!</v>
      </c>
      <c r="N141" s="289" t="e">
        <f>IF(#REF!&gt;0,'Segmented SAUC'!N$98)+'Segmented SAUC'!N$99*#REF!+IF(#REF!&gt;0,'Segmented SAUC'!N$102)+'Segmented SAUC'!N$103*#REF!+IF(#REF!&gt;0,'Segmented SAUC'!N$106)+'Segmented SAUC'!N$107*#REF!</f>
        <v>#REF!</v>
      </c>
      <c r="O141" s="289" t="e">
        <f>IF(#REF!&gt;0,'Segmented SAUC'!O$98)+'Segmented SAUC'!O$99*#REF!+IF(#REF!&gt;0,'Segmented SAUC'!O$102)+'Segmented SAUC'!O$103*#REF!+IF(#REF!&gt;0,'Segmented SAUC'!O$106)+'Segmented SAUC'!O$107*#REF!</f>
        <v>#REF!</v>
      </c>
      <c r="P141" s="289" t="e">
        <f>IF(#REF!&gt;0,'Segmented SAUC'!P$98)+'Segmented SAUC'!P$99*#REF!+IF(#REF!&gt;0,'Segmented SAUC'!P$102)+'Segmented SAUC'!P$103*#REF!+IF(#REF!&gt;0,'Segmented SAUC'!P$106)+'Segmented SAUC'!P$107*#REF!</f>
        <v>#REF!</v>
      </c>
      <c r="Q141" s="289" t="e">
        <f>IF(#REF!&gt;0,'Segmented SAUC'!Q$98)+'Segmented SAUC'!Q$99*#REF!+IF(#REF!&gt;0,'Segmented SAUC'!Q$102)+'Segmented SAUC'!Q$103*#REF!+IF(#REF!&gt;0,'Segmented SAUC'!Q$106)+'Segmented SAUC'!Q$107*#REF!</f>
        <v>#REF!</v>
      </c>
      <c r="R141" s="289" t="e">
        <f>IF(#REF!&gt;0,'Segmented SAUC'!R$98)+'Segmented SAUC'!R$99*#REF!+IF(#REF!&gt;0,'Segmented SAUC'!R$102)+'Segmented SAUC'!R$103*#REF!+IF(#REF!&gt;0,'Segmented SAUC'!R$106)+'Segmented SAUC'!R$107*#REF!</f>
        <v>#REF!</v>
      </c>
    </row>
    <row r="142" spans="1:18">
      <c r="A142" s="261" t="e">
        <f>#REF!</f>
        <v>#REF!</v>
      </c>
      <c r="B142" s="289"/>
      <c r="C142" s="289" t="e">
        <f>IF(#REF!&gt;0,'Segmented SAUC'!C$98)+'Segmented SAUC'!C$99*#REF!+IF(#REF!&gt;0,'Segmented SAUC'!C$102)+'Segmented SAUC'!C$103*#REF!+IF(#REF!&gt;0,'Segmented SAUC'!C$106)+'Segmented SAUC'!C$107*#REF!</f>
        <v>#REF!</v>
      </c>
      <c r="D142" s="289" t="e">
        <f>IF(#REF!&gt;0,'Segmented SAUC'!D$98)+'Segmented SAUC'!D$99*#REF!+IF(#REF!&gt;0,'Segmented SAUC'!D$102)+'Segmented SAUC'!D$103*#REF!+IF(#REF!&gt;0,'Segmented SAUC'!D$106)+'Segmented SAUC'!D$107*#REF!</f>
        <v>#REF!</v>
      </c>
      <c r="E142" s="289" t="e">
        <f>IF(#REF!&gt;0,'Segmented SAUC'!E$98)+'Segmented SAUC'!E$99*#REF!+IF(#REF!&gt;0,'Segmented SAUC'!E$102)+'Segmented SAUC'!E$103*#REF!+IF(#REF!&gt;0,'Segmented SAUC'!E$106)+'Segmented SAUC'!E$107*#REF!</f>
        <v>#REF!</v>
      </c>
      <c r="F142" s="289" t="e">
        <f>IF(#REF!&gt;0,'Segmented SAUC'!F$98)+'Segmented SAUC'!F$99*#REF!+IF(#REF!&gt;0,'Segmented SAUC'!F$102)+'Segmented SAUC'!F$103*#REF!+IF(#REF!&gt;0,'Segmented SAUC'!F$106)+'Segmented SAUC'!F$107*#REF!</f>
        <v>#REF!</v>
      </c>
      <c r="G142" s="289" t="e">
        <f>IF(#REF!&gt;0,'Segmented SAUC'!G$98)+'Segmented SAUC'!G$99*#REF!+IF(#REF!&gt;0,'Segmented SAUC'!G$102)+'Segmented SAUC'!G$103*#REF!+IF(#REF!&gt;0,'Segmented SAUC'!G$106)+'Segmented SAUC'!G$107*#REF!</f>
        <v>#REF!</v>
      </c>
      <c r="H142" s="289" t="e">
        <f>IF(#REF!&gt;0,'Segmented SAUC'!H$98)+'Segmented SAUC'!H$99*#REF!+IF(#REF!&gt;0,'Segmented SAUC'!H$102)+'Segmented SAUC'!H$103*#REF!+IF(#REF!&gt;0,'Segmented SAUC'!H$106)+'Segmented SAUC'!H$107*#REF!</f>
        <v>#REF!</v>
      </c>
      <c r="I142" s="290" t="e">
        <f>IF(#REF!&gt;0,'Segmented SAUC'!I$98)+'Segmented SAUC'!I$99*#REF!+IF(#REF!&gt;0,'Segmented SAUC'!I$102)+'Segmented SAUC'!I$103*#REF!+IF(#REF!&gt;0,'Segmented SAUC'!I$106)+'Segmented SAUC'!I$107*#REF!</f>
        <v>#REF!</v>
      </c>
      <c r="J142" s="289" t="e">
        <f>IF(#REF!&gt;0,'Segmented SAUC'!J$98)+'Segmented SAUC'!J$99*#REF!+IF(#REF!&gt;0,'Segmented SAUC'!J$102)+'Segmented SAUC'!J$103*#REF!+IF(#REF!&gt;0,'Segmented SAUC'!J$106)+'Segmented SAUC'!J$107*#REF!</f>
        <v>#REF!</v>
      </c>
      <c r="K142" s="289" t="e">
        <f>IF(#REF!&gt;0,'Segmented SAUC'!K$98)+'Segmented SAUC'!K$99*#REF!+IF(#REF!&gt;0,'Segmented SAUC'!K$102)+'Segmented SAUC'!K$103*#REF!+IF(#REF!&gt;0,'Segmented SAUC'!K$106)+'Segmented SAUC'!K$107*#REF!</f>
        <v>#REF!</v>
      </c>
      <c r="L142" s="289" t="e">
        <f>IF(#REF!&gt;0,'Segmented SAUC'!L$98)+'Segmented SAUC'!L$99*#REF!+IF(#REF!&gt;0,'Segmented SAUC'!L$102)+'Segmented SAUC'!L$103*#REF!+IF(#REF!&gt;0,'Segmented SAUC'!L$106)+'Segmented SAUC'!L$107*#REF!</f>
        <v>#REF!</v>
      </c>
      <c r="M142" s="289" t="e">
        <f>IF(#REF!&gt;0,'Segmented SAUC'!M$98)+'Segmented SAUC'!M$99*#REF!+IF(#REF!&gt;0,'Segmented SAUC'!M$102)+'Segmented SAUC'!M$103*#REF!+IF(#REF!&gt;0,'Segmented SAUC'!M$106)+'Segmented SAUC'!M$107*#REF!</f>
        <v>#REF!</v>
      </c>
      <c r="N142" s="289" t="e">
        <f>IF(#REF!&gt;0,'Segmented SAUC'!N$98)+'Segmented SAUC'!N$99*#REF!+IF(#REF!&gt;0,'Segmented SAUC'!N$102)+'Segmented SAUC'!N$103*#REF!+IF(#REF!&gt;0,'Segmented SAUC'!N$106)+'Segmented SAUC'!N$107*#REF!</f>
        <v>#REF!</v>
      </c>
      <c r="O142" s="289" t="e">
        <f>IF(#REF!&gt;0,'Segmented SAUC'!O$98)+'Segmented SAUC'!O$99*#REF!+IF(#REF!&gt;0,'Segmented SAUC'!O$102)+'Segmented SAUC'!O$103*#REF!+IF(#REF!&gt;0,'Segmented SAUC'!O$106)+'Segmented SAUC'!O$107*#REF!</f>
        <v>#REF!</v>
      </c>
      <c r="P142" s="289" t="e">
        <f>IF(#REF!&gt;0,'Segmented SAUC'!P$98)+'Segmented SAUC'!P$99*#REF!+IF(#REF!&gt;0,'Segmented SAUC'!P$102)+'Segmented SAUC'!P$103*#REF!+IF(#REF!&gt;0,'Segmented SAUC'!P$106)+'Segmented SAUC'!P$107*#REF!</f>
        <v>#REF!</v>
      </c>
      <c r="Q142" s="289" t="e">
        <f>IF(#REF!&gt;0,'Segmented SAUC'!Q$98)+'Segmented SAUC'!Q$99*#REF!+IF(#REF!&gt;0,'Segmented SAUC'!Q$102)+'Segmented SAUC'!Q$103*#REF!+IF(#REF!&gt;0,'Segmented SAUC'!Q$106)+'Segmented SAUC'!Q$107*#REF!</f>
        <v>#REF!</v>
      </c>
      <c r="R142" s="289" t="e">
        <f>IF(#REF!&gt;0,'Segmented SAUC'!R$98)+'Segmented SAUC'!R$99*#REF!+IF(#REF!&gt;0,'Segmented SAUC'!R$102)+'Segmented SAUC'!R$103*#REF!+IF(#REF!&gt;0,'Segmented SAUC'!R$106)+'Segmented SAUC'!R$107*#REF!</f>
        <v>#REF!</v>
      </c>
    </row>
    <row r="143" spans="1:18">
      <c r="A143" s="261" t="e">
        <f>#REF!</f>
        <v>#REF!</v>
      </c>
      <c r="B143" s="289"/>
      <c r="C143" s="289" t="e">
        <f>IF(#REF!&gt;0,'Segmented SAUC'!C$98)+'Segmented SAUC'!C$99*#REF!+IF(#REF!&gt;0,'Segmented SAUC'!C$102)+'Segmented SAUC'!C$103*#REF!+IF(#REF!&gt;0,'Segmented SAUC'!C$106)+'Segmented SAUC'!C$107*#REF!</f>
        <v>#REF!</v>
      </c>
      <c r="D143" s="289" t="e">
        <f>IF(#REF!&gt;0,'Segmented SAUC'!D$98)+'Segmented SAUC'!D$99*#REF!+IF(#REF!&gt;0,'Segmented SAUC'!D$102)+'Segmented SAUC'!D$103*#REF!+IF(#REF!&gt;0,'Segmented SAUC'!D$106)+'Segmented SAUC'!D$107*#REF!</f>
        <v>#REF!</v>
      </c>
      <c r="E143" s="289" t="e">
        <f>IF(#REF!&gt;0,'Segmented SAUC'!E$98)+'Segmented SAUC'!E$99*#REF!+IF(#REF!&gt;0,'Segmented SAUC'!E$102)+'Segmented SAUC'!E$103*#REF!+IF(#REF!&gt;0,'Segmented SAUC'!E$106)+'Segmented SAUC'!E$107*#REF!</f>
        <v>#REF!</v>
      </c>
      <c r="F143" s="289" t="e">
        <f>IF(#REF!&gt;0,'Segmented SAUC'!F$98)+'Segmented SAUC'!F$99*#REF!+IF(#REF!&gt;0,'Segmented SAUC'!F$102)+'Segmented SAUC'!F$103*#REF!+IF(#REF!&gt;0,'Segmented SAUC'!F$106)+'Segmented SAUC'!F$107*#REF!</f>
        <v>#REF!</v>
      </c>
      <c r="G143" s="289" t="e">
        <f>IF(#REF!&gt;0,'Segmented SAUC'!G$98)+'Segmented SAUC'!G$99*#REF!+IF(#REF!&gt;0,'Segmented SAUC'!G$102)+'Segmented SAUC'!G$103*#REF!+IF(#REF!&gt;0,'Segmented SAUC'!G$106)+'Segmented SAUC'!G$107*#REF!</f>
        <v>#REF!</v>
      </c>
      <c r="H143" s="289" t="e">
        <f>IF(#REF!&gt;0,'Segmented SAUC'!H$98)+'Segmented SAUC'!H$99*#REF!+IF(#REF!&gt;0,'Segmented SAUC'!H$102)+'Segmented SAUC'!H$103*#REF!+IF(#REF!&gt;0,'Segmented SAUC'!H$106)+'Segmented SAUC'!H$107*#REF!</f>
        <v>#REF!</v>
      </c>
      <c r="I143" s="290" t="e">
        <f>IF(#REF!&gt;0,'Segmented SAUC'!I$98)+'Segmented SAUC'!I$99*#REF!+IF(#REF!&gt;0,'Segmented SAUC'!I$102)+'Segmented SAUC'!I$103*#REF!+IF(#REF!&gt;0,'Segmented SAUC'!I$106)+'Segmented SAUC'!I$107*#REF!</f>
        <v>#REF!</v>
      </c>
      <c r="J143" s="289" t="e">
        <f>IF(#REF!&gt;0,'Segmented SAUC'!J$98)+'Segmented SAUC'!J$99*#REF!+IF(#REF!&gt;0,'Segmented SAUC'!J$102)+'Segmented SAUC'!J$103*#REF!+IF(#REF!&gt;0,'Segmented SAUC'!J$106)+'Segmented SAUC'!J$107*#REF!</f>
        <v>#REF!</v>
      </c>
      <c r="K143" s="289" t="e">
        <f>IF(#REF!&gt;0,'Segmented SAUC'!K$98)+'Segmented SAUC'!K$99*#REF!+IF(#REF!&gt;0,'Segmented SAUC'!K$102)+'Segmented SAUC'!K$103*#REF!+IF(#REF!&gt;0,'Segmented SAUC'!K$106)+'Segmented SAUC'!K$107*#REF!</f>
        <v>#REF!</v>
      </c>
      <c r="L143" s="289" t="e">
        <f>IF(#REF!&gt;0,'Segmented SAUC'!L$98)+'Segmented SAUC'!L$99*#REF!+IF(#REF!&gt;0,'Segmented SAUC'!L$102)+'Segmented SAUC'!L$103*#REF!+IF(#REF!&gt;0,'Segmented SAUC'!L$106)+'Segmented SAUC'!L$107*#REF!</f>
        <v>#REF!</v>
      </c>
      <c r="M143" s="289" t="e">
        <f>IF(#REF!&gt;0,'Segmented SAUC'!M$98)+'Segmented SAUC'!M$99*#REF!+IF(#REF!&gt;0,'Segmented SAUC'!M$102)+'Segmented SAUC'!M$103*#REF!+IF(#REF!&gt;0,'Segmented SAUC'!M$106)+'Segmented SAUC'!M$107*#REF!</f>
        <v>#REF!</v>
      </c>
      <c r="N143" s="289" t="e">
        <f>IF(#REF!&gt;0,'Segmented SAUC'!N$98)+'Segmented SAUC'!N$99*#REF!+IF(#REF!&gt;0,'Segmented SAUC'!N$102)+'Segmented SAUC'!N$103*#REF!+IF(#REF!&gt;0,'Segmented SAUC'!N$106)+'Segmented SAUC'!N$107*#REF!</f>
        <v>#REF!</v>
      </c>
      <c r="O143" s="289" t="e">
        <f>IF(#REF!&gt;0,'Segmented SAUC'!O$98)+'Segmented SAUC'!O$99*#REF!+IF(#REF!&gt;0,'Segmented SAUC'!O$102)+'Segmented SAUC'!O$103*#REF!+IF(#REF!&gt;0,'Segmented SAUC'!O$106)+'Segmented SAUC'!O$107*#REF!</f>
        <v>#REF!</v>
      </c>
      <c r="P143" s="289" t="e">
        <f>IF(#REF!&gt;0,'Segmented SAUC'!P$98)+'Segmented SAUC'!P$99*#REF!+IF(#REF!&gt;0,'Segmented SAUC'!P$102)+'Segmented SAUC'!P$103*#REF!+IF(#REF!&gt;0,'Segmented SAUC'!P$106)+'Segmented SAUC'!P$107*#REF!</f>
        <v>#REF!</v>
      </c>
      <c r="Q143" s="289" t="e">
        <f>IF(#REF!&gt;0,'Segmented SAUC'!Q$98)+'Segmented SAUC'!Q$99*#REF!+IF(#REF!&gt;0,'Segmented SAUC'!Q$102)+'Segmented SAUC'!Q$103*#REF!+IF(#REF!&gt;0,'Segmented SAUC'!Q$106)+'Segmented SAUC'!Q$107*#REF!</f>
        <v>#REF!</v>
      </c>
      <c r="R143" s="289" t="e">
        <f>IF(#REF!&gt;0,'Segmented SAUC'!R$98)+'Segmented SAUC'!R$99*#REF!+IF(#REF!&gt;0,'Segmented SAUC'!R$102)+'Segmented SAUC'!R$103*#REF!+IF(#REF!&gt;0,'Segmented SAUC'!R$106)+'Segmented SAUC'!R$107*#REF!</f>
        <v>#REF!</v>
      </c>
    </row>
    <row r="144" spans="1:18">
      <c r="A144" s="261" t="e">
        <f>#REF!</f>
        <v>#REF!</v>
      </c>
      <c r="B144" s="289"/>
      <c r="C144" s="289" t="e">
        <f>IF(#REF!&gt;0,'Segmented SAUC'!C$98)+'Segmented SAUC'!C$99*#REF!+IF(#REF!&gt;0,'Segmented SAUC'!C$102)+'Segmented SAUC'!C$103*#REF!+IF(#REF!&gt;0,'Segmented SAUC'!C$106)+'Segmented SAUC'!C$107*#REF!</f>
        <v>#REF!</v>
      </c>
      <c r="D144" s="289" t="e">
        <f>IF(#REF!&gt;0,'Segmented SAUC'!D$98)+'Segmented SAUC'!D$99*#REF!+IF(#REF!&gt;0,'Segmented SAUC'!D$102)+'Segmented SAUC'!D$103*#REF!+IF(#REF!&gt;0,'Segmented SAUC'!D$106)+'Segmented SAUC'!D$107*#REF!</f>
        <v>#REF!</v>
      </c>
      <c r="E144" s="289" t="e">
        <f>IF(#REF!&gt;0,'Segmented SAUC'!E$98)+'Segmented SAUC'!E$99*#REF!+IF(#REF!&gt;0,'Segmented SAUC'!E$102)+'Segmented SAUC'!E$103*#REF!+IF(#REF!&gt;0,'Segmented SAUC'!E$106)+'Segmented SAUC'!E$107*#REF!</f>
        <v>#REF!</v>
      </c>
      <c r="F144" s="289" t="e">
        <f>IF(#REF!&gt;0,'Segmented SAUC'!F$98)+'Segmented SAUC'!F$99*#REF!+IF(#REF!&gt;0,'Segmented SAUC'!F$102)+'Segmented SAUC'!F$103*#REF!+IF(#REF!&gt;0,'Segmented SAUC'!F$106)+'Segmented SAUC'!F$107*#REF!</f>
        <v>#REF!</v>
      </c>
      <c r="G144" s="289" t="e">
        <f>IF(#REF!&gt;0,'Segmented SAUC'!G$98)+'Segmented SAUC'!G$99*#REF!+IF(#REF!&gt;0,'Segmented SAUC'!G$102)+'Segmented SAUC'!G$103*#REF!+IF(#REF!&gt;0,'Segmented SAUC'!G$106)+'Segmented SAUC'!G$107*#REF!</f>
        <v>#REF!</v>
      </c>
      <c r="H144" s="289" t="e">
        <f>IF(#REF!&gt;0,'Segmented SAUC'!H$98)+'Segmented SAUC'!H$99*#REF!+IF(#REF!&gt;0,'Segmented SAUC'!H$102)+'Segmented SAUC'!H$103*#REF!+IF(#REF!&gt;0,'Segmented SAUC'!H$106)+'Segmented SAUC'!H$107*#REF!</f>
        <v>#REF!</v>
      </c>
      <c r="I144" s="290" t="e">
        <f>IF(#REF!&gt;0,'Segmented SAUC'!I$98)+'Segmented SAUC'!I$99*#REF!+IF(#REF!&gt;0,'Segmented SAUC'!I$102)+'Segmented SAUC'!I$103*#REF!+IF(#REF!&gt;0,'Segmented SAUC'!I$106)+'Segmented SAUC'!I$107*#REF!</f>
        <v>#REF!</v>
      </c>
      <c r="J144" s="289" t="e">
        <f>IF(#REF!&gt;0,'Segmented SAUC'!J$98)+'Segmented SAUC'!J$99*#REF!+IF(#REF!&gt;0,'Segmented SAUC'!J$102)+'Segmented SAUC'!J$103*#REF!+IF(#REF!&gt;0,'Segmented SAUC'!J$106)+'Segmented SAUC'!J$107*#REF!</f>
        <v>#REF!</v>
      </c>
      <c r="K144" s="289" t="e">
        <f>IF(#REF!&gt;0,'Segmented SAUC'!K$98)+'Segmented SAUC'!K$99*#REF!+IF(#REF!&gt;0,'Segmented SAUC'!K$102)+'Segmented SAUC'!K$103*#REF!+IF(#REF!&gt;0,'Segmented SAUC'!K$106)+'Segmented SAUC'!K$107*#REF!</f>
        <v>#REF!</v>
      </c>
      <c r="L144" s="289" t="e">
        <f>IF(#REF!&gt;0,'Segmented SAUC'!L$98)+'Segmented SAUC'!L$99*#REF!+IF(#REF!&gt;0,'Segmented SAUC'!L$102)+'Segmented SAUC'!L$103*#REF!+IF(#REF!&gt;0,'Segmented SAUC'!L$106)+'Segmented SAUC'!L$107*#REF!</f>
        <v>#REF!</v>
      </c>
      <c r="M144" s="289" t="e">
        <f>IF(#REF!&gt;0,'Segmented SAUC'!M$98)+'Segmented SAUC'!M$99*#REF!+IF(#REF!&gt;0,'Segmented SAUC'!M$102)+'Segmented SAUC'!M$103*#REF!+IF(#REF!&gt;0,'Segmented SAUC'!M$106)+'Segmented SAUC'!M$107*#REF!</f>
        <v>#REF!</v>
      </c>
      <c r="N144" s="289" t="e">
        <f>IF(#REF!&gt;0,'Segmented SAUC'!N$98)+'Segmented SAUC'!N$99*#REF!+IF(#REF!&gt;0,'Segmented SAUC'!N$102)+'Segmented SAUC'!N$103*#REF!+IF(#REF!&gt;0,'Segmented SAUC'!N$106)+'Segmented SAUC'!N$107*#REF!</f>
        <v>#REF!</v>
      </c>
      <c r="O144" s="289" t="e">
        <f>IF(#REF!&gt;0,'Segmented SAUC'!O$98)+'Segmented SAUC'!O$99*#REF!+IF(#REF!&gt;0,'Segmented SAUC'!O$102)+'Segmented SAUC'!O$103*#REF!+IF(#REF!&gt;0,'Segmented SAUC'!O$106)+'Segmented SAUC'!O$107*#REF!</f>
        <v>#REF!</v>
      </c>
      <c r="P144" s="289" t="e">
        <f>IF(#REF!&gt;0,'Segmented SAUC'!P$98)+'Segmented SAUC'!P$99*#REF!+IF(#REF!&gt;0,'Segmented SAUC'!P$102)+'Segmented SAUC'!P$103*#REF!+IF(#REF!&gt;0,'Segmented SAUC'!P$106)+'Segmented SAUC'!P$107*#REF!</f>
        <v>#REF!</v>
      </c>
      <c r="Q144" s="289" t="e">
        <f>IF(#REF!&gt;0,'Segmented SAUC'!Q$98)+'Segmented SAUC'!Q$99*#REF!+IF(#REF!&gt;0,'Segmented SAUC'!Q$102)+'Segmented SAUC'!Q$103*#REF!+IF(#REF!&gt;0,'Segmented SAUC'!Q$106)+'Segmented SAUC'!Q$107*#REF!</f>
        <v>#REF!</v>
      </c>
      <c r="R144" s="289" t="e">
        <f>IF(#REF!&gt;0,'Segmented SAUC'!R$98)+'Segmented SAUC'!R$99*#REF!+IF(#REF!&gt;0,'Segmented SAUC'!R$102)+'Segmented SAUC'!R$103*#REF!+IF(#REF!&gt;0,'Segmented SAUC'!R$106)+'Segmented SAUC'!R$107*#REF!</f>
        <v>#REF!</v>
      </c>
    </row>
    <row r="145" spans="1:18">
      <c r="A145" s="261" t="e">
        <f>#REF!</f>
        <v>#REF!</v>
      </c>
      <c r="B145" s="289"/>
      <c r="C145" s="289" t="e">
        <f>IF(#REF!&gt;0,'Segmented SAUC'!C$98)+'Segmented SAUC'!C$99*#REF!+IF(#REF!&gt;0,'Segmented SAUC'!C$102)+'Segmented SAUC'!C$103*#REF!+IF(#REF!&gt;0,'Segmented SAUC'!C$106)+'Segmented SAUC'!C$107*#REF!</f>
        <v>#REF!</v>
      </c>
      <c r="D145" s="289" t="e">
        <f>IF(#REF!&gt;0,'Segmented SAUC'!D$98)+'Segmented SAUC'!D$99*#REF!+IF(#REF!&gt;0,'Segmented SAUC'!D$102)+'Segmented SAUC'!D$103*#REF!+IF(#REF!&gt;0,'Segmented SAUC'!D$106)+'Segmented SAUC'!D$107*#REF!</f>
        <v>#REF!</v>
      </c>
      <c r="E145" s="289" t="e">
        <f>IF(#REF!&gt;0,'Segmented SAUC'!E$98)+'Segmented SAUC'!E$99*#REF!+IF(#REF!&gt;0,'Segmented SAUC'!E$102)+'Segmented SAUC'!E$103*#REF!+IF(#REF!&gt;0,'Segmented SAUC'!E$106)+'Segmented SAUC'!E$107*#REF!</f>
        <v>#REF!</v>
      </c>
      <c r="F145" s="289" t="e">
        <f>IF(#REF!&gt;0,'Segmented SAUC'!F$98)+'Segmented SAUC'!F$99*#REF!+IF(#REF!&gt;0,'Segmented SAUC'!F$102)+'Segmented SAUC'!F$103*#REF!+IF(#REF!&gt;0,'Segmented SAUC'!F$106)+'Segmented SAUC'!F$107*#REF!</f>
        <v>#REF!</v>
      </c>
      <c r="G145" s="289" t="e">
        <f>IF(#REF!&gt;0,'Segmented SAUC'!G$98)+'Segmented SAUC'!G$99*#REF!+IF(#REF!&gt;0,'Segmented SAUC'!G$102)+'Segmented SAUC'!G$103*#REF!+IF(#REF!&gt;0,'Segmented SAUC'!G$106)+'Segmented SAUC'!G$107*#REF!</f>
        <v>#REF!</v>
      </c>
      <c r="H145" s="289" t="e">
        <f>IF(#REF!&gt;0,'Segmented SAUC'!H$98)+'Segmented SAUC'!H$99*#REF!+IF(#REF!&gt;0,'Segmented SAUC'!H$102)+'Segmented SAUC'!H$103*#REF!+IF(#REF!&gt;0,'Segmented SAUC'!H$106)+'Segmented SAUC'!H$107*#REF!</f>
        <v>#REF!</v>
      </c>
      <c r="I145" s="290" t="e">
        <f>IF(#REF!&gt;0,'Segmented SAUC'!I$98)+'Segmented SAUC'!I$99*#REF!+IF(#REF!&gt;0,'Segmented SAUC'!I$102)+'Segmented SAUC'!I$103*#REF!+IF(#REF!&gt;0,'Segmented SAUC'!I$106)+'Segmented SAUC'!I$107*#REF!</f>
        <v>#REF!</v>
      </c>
      <c r="J145" s="289" t="e">
        <f>IF(#REF!&gt;0,'Segmented SAUC'!J$98)+'Segmented SAUC'!J$99*#REF!+IF(#REF!&gt;0,'Segmented SAUC'!J$102)+'Segmented SAUC'!J$103*#REF!+IF(#REF!&gt;0,'Segmented SAUC'!J$106)+'Segmented SAUC'!J$107*#REF!</f>
        <v>#REF!</v>
      </c>
      <c r="K145" s="289" t="e">
        <f>IF(#REF!&gt;0,'Segmented SAUC'!K$98)+'Segmented SAUC'!K$99*#REF!+IF(#REF!&gt;0,'Segmented SAUC'!K$102)+'Segmented SAUC'!K$103*#REF!+IF(#REF!&gt;0,'Segmented SAUC'!K$106)+'Segmented SAUC'!K$107*#REF!</f>
        <v>#REF!</v>
      </c>
      <c r="L145" s="289" t="e">
        <f>IF(#REF!&gt;0,'Segmented SAUC'!L$98)+'Segmented SAUC'!L$99*#REF!+IF(#REF!&gt;0,'Segmented SAUC'!L$102)+'Segmented SAUC'!L$103*#REF!+IF(#REF!&gt;0,'Segmented SAUC'!L$106)+'Segmented SAUC'!L$107*#REF!</f>
        <v>#REF!</v>
      </c>
      <c r="M145" s="289" t="e">
        <f>IF(#REF!&gt;0,'Segmented SAUC'!M$98)+'Segmented SAUC'!M$99*#REF!+IF(#REF!&gt;0,'Segmented SAUC'!M$102)+'Segmented SAUC'!M$103*#REF!+IF(#REF!&gt;0,'Segmented SAUC'!M$106)+'Segmented SAUC'!M$107*#REF!</f>
        <v>#REF!</v>
      </c>
      <c r="N145" s="289" t="e">
        <f>IF(#REF!&gt;0,'Segmented SAUC'!N$98)+'Segmented SAUC'!N$99*#REF!+IF(#REF!&gt;0,'Segmented SAUC'!N$102)+'Segmented SAUC'!N$103*#REF!+IF(#REF!&gt;0,'Segmented SAUC'!N$106)+'Segmented SAUC'!N$107*#REF!</f>
        <v>#REF!</v>
      </c>
      <c r="O145" s="289" t="e">
        <f>IF(#REF!&gt;0,'Segmented SAUC'!O$98)+'Segmented SAUC'!O$99*#REF!+IF(#REF!&gt;0,'Segmented SAUC'!O$102)+'Segmented SAUC'!O$103*#REF!+IF(#REF!&gt;0,'Segmented SAUC'!O$106)+'Segmented SAUC'!O$107*#REF!</f>
        <v>#REF!</v>
      </c>
      <c r="P145" s="289" t="e">
        <f>IF(#REF!&gt;0,'Segmented SAUC'!P$98)+'Segmented SAUC'!P$99*#REF!+IF(#REF!&gt;0,'Segmented SAUC'!P$102)+'Segmented SAUC'!P$103*#REF!+IF(#REF!&gt;0,'Segmented SAUC'!P$106)+'Segmented SAUC'!P$107*#REF!</f>
        <v>#REF!</v>
      </c>
      <c r="Q145" s="289" t="e">
        <f>IF(#REF!&gt;0,'Segmented SAUC'!Q$98)+'Segmented SAUC'!Q$99*#REF!+IF(#REF!&gt;0,'Segmented SAUC'!Q$102)+'Segmented SAUC'!Q$103*#REF!+IF(#REF!&gt;0,'Segmented SAUC'!Q$106)+'Segmented SAUC'!Q$107*#REF!</f>
        <v>#REF!</v>
      </c>
      <c r="R145" s="289" t="e">
        <f>IF(#REF!&gt;0,'Segmented SAUC'!R$98)+'Segmented SAUC'!R$99*#REF!+IF(#REF!&gt;0,'Segmented SAUC'!R$102)+'Segmented SAUC'!R$103*#REF!+IF(#REF!&gt;0,'Segmented SAUC'!R$106)+'Segmented SAUC'!R$107*#REF!</f>
        <v>#REF!</v>
      </c>
    </row>
    <row r="146" spans="1:18">
      <c r="A146" s="261" t="e">
        <f>#REF!</f>
        <v>#REF!</v>
      </c>
      <c r="B146" s="289"/>
      <c r="C146" s="289" t="e">
        <f>IF(#REF!&gt;0,'Segmented SAUC'!C$98)+'Segmented SAUC'!C$99*#REF!+IF(#REF!&gt;0,'Segmented SAUC'!C$102)+'Segmented SAUC'!C$103*#REF!+IF(#REF!&gt;0,'Segmented SAUC'!C$106)+'Segmented SAUC'!C$107*#REF!</f>
        <v>#REF!</v>
      </c>
      <c r="D146" s="289" t="e">
        <f>IF(#REF!&gt;0,'Segmented SAUC'!D$98)+'Segmented SAUC'!D$99*#REF!+IF(#REF!&gt;0,'Segmented SAUC'!D$102)+'Segmented SAUC'!D$103*#REF!+IF(#REF!&gt;0,'Segmented SAUC'!D$106)+'Segmented SAUC'!D$107*#REF!</f>
        <v>#REF!</v>
      </c>
      <c r="E146" s="289" t="e">
        <f>IF(#REF!&gt;0,'Segmented SAUC'!E$98)+'Segmented SAUC'!E$99*#REF!+IF(#REF!&gt;0,'Segmented SAUC'!E$102)+'Segmented SAUC'!E$103*#REF!+IF(#REF!&gt;0,'Segmented SAUC'!E$106)+'Segmented SAUC'!E$107*#REF!</f>
        <v>#REF!</v>
      </c>
      <c r="F146" s="289" t="e">
        <f>IF(#REF!&gt;0,'Segmented SAUC'!F$98)+'Segmented SAUC'!F$99*#REF!+IF(#REF!&gt;0,'Segmented SAUC'!F$102)+'Segmented SAUC'!F$103*#REF!+IF(#REF!&gt;0,'Segmented SAUC'!F$106)+'Segmented SAUC'!F$107*#REF!</f>
        <v>#REF!</v>
      </c>
      <c r="G146" s="289" t="e">
        <f>IF(#REF!&gt;0,'Segmented SAUC'!G$98)+'Segmented SAUC'!G$99*#REF!+IF(#REF!&gt;0,'Segmented SAUC'!G$102)+'Segmented SAUC'!G$103*#REF!+IF(#REF!&gt;0,'Segmented SAUC'!G$106)+'Segmented SAUC'!G$107*#REF!</f>
        <v>#REF!</v>
      </c>
      <c r="H146" s="289" t="e">
        <f>IF(#REF!&gt;0,'Segmented SAUC'!H$98)+'Segmented SAUC'!H$99*#REF!+IF(#REF!&gt;0,'Segmented SAUC'!H$102)+'Segmented SAUC'!H$103*#REF!+IF(#REF!&gt;0,'Segmented SAUC'!H$106)+'Segmented SAUC'!H$107*#REF!</f>
        <v>#REF!</v>
      </c>
      <c r="I146" s="290" t="e">
        <f>IF(#REF!&gt;0,'Segmented SAUC'!I$98)+'Segmented SAUC'!I$99*#REF!+IF(#REF!&gt;0,'Segmented SAUC'!I$102)+'Segmented SAUC'!I$103*#REF!+IF(#REF!&gt;0,'Segmented SAUC'!I$106)+'Segmented SAUC'!I$107*#REF!</f>
        <v>#REF!</v>
      </c>
      <c r="J146" s="289" t="e">
        <f>IF(#REF!&gt;0,'Segmented SAUC'!J$98)+'Segmented SAUC'!J$99*#REF!+IF(#REF!&gt;0,'Segmented SAUC'!J$102)+'Segmented SAUC'!J$103*#REF!+IF(#REF!&gt;0,'Segmented SAUC'!J$106)+'Segmented SAUC'!J$107*#REF!</f>
        <v>#REF!</v>
      </c>
      <c r="K146" s="289" t="e">
        <f>IF(#REF!&gt;0,'Segmented SAUC'!K$98)+'Segmented SAUC'!K$99*#REF!+IF(#REF!&gt;0,'Segmented SAUC'!K$102)+'Segmented SAUC'!K$103*#REF!+IF(#REF!&gt;0,'Segmented SAUC'!K$106)+'Segmented SAUC'!K$107*#REF!</f>
        <v>#REF!</v>
      </c>
      <c r="L146" s="289" t="e">
        <f>IF(#REF!&gt;0,'Segmented SAUC'!L$98)+'Segmented SAUC'!L$99*#REF!+IF(#REF!&gt;0,'Segmented SAUC'!L$102)+'Segmented SAUC'!L$103*#REF!+IF(#REF!&gt;0,'Segmented SAUC'!L$106)+'Segmented SAUC'!L$107*#REF!</f>
        <v>#REF!</v>
      </c>
      <c r="M146" s="289" t="e">
        <f>IF(#REF!&gt;0,'Segmented SAUC'!M$98)+'Segmented SAUC'!M$99*#REF!+IF(#REF!&gt;0,'Segmented SAUC'!M$102)+'Segmented SAUC'!M$103*#REF!+IF(#REF!&gt;0,'Segmented SAUC'!M$106)+'Segmented SAUC'!M$107*#REF!</f>
        <v>#REF!</v>
      </c>
      <c r="N146" s="289" t="e">
        <f>IF(#REF!&gt;0,'Segmented SAUC'!N$98)+'Segmented SAUC'!N$99*#REF!+IF(#REF!&gt;0,'Segmented SAUC'!N$102)+'Segmented SAUC'!N$103*#REF!+IF(#REF!&gt;0,'Segmented SAUC'!N$106)+'Segmented SAUC'!N$107*#REF!</f>
        <v>#REF!</v>
      </c>
      <c r="O146" s="289" t="e">
        <f>IF(#REF!&gt;0,'Segmented SAUC'!O$98)+'Segmented SAUC'!O$99*#REF!+IF(#REF!&gt;0,'Segmented SAUC'!O$102)+'Segmented SAUC'!O$103*#REF!+IF(#REF!&gt;0,'Segmented SAUC'!O$106)+'Segmented SAUC'!O$107*#REF!</f>
        <v>#REF!</v>
      </c>
      <c r="P146" s="289" t="e">
        <f>IF(#REF!&gt;0,'Segmented SAUC'!P$98)+'Segmented SAUC'!P$99*#REF!+IF(#REF!&gt;0,'Segmented SAUC'!P$102)+'Segmented SAUC'!P$103*#REF!+IF(#REF!&gt;0,'Segmented SAUC'!P$106)+'Segmented SAUC'!P$107*#REF!</f>
        <v>#REF!</v>
      </c>
      <c r="Q146" s="289" t="e">
        <f>IF(#REF!&gt;0,'Segmented SAUC'!Q$98)+'Segmented SAUC'!Q$99*#REF!+IF(#REF!&gt;0,'Segmented SAUC'!Q$102)+'Segmented SAUC'!Q$103*#REF!+IF(#REF!&gt;0,'Segmented SAUC'!Q$106)+'Segmented SAUC'!Q$107*#REF!</f>
        <v>#REF!</v>
      </c>
      <c r="R146" s="289" t="e">
        <f>IF(#REF!&gt;0,'Segmented SAUC'!R$98)+'Segmented SAUC'!R$99*#REF!+IF(#REF!&gt;0,'Segmented SAUC'!R$102)+'Segmented SAUC'!R$103*#REF!+IF(#REF!&gt;0,'Segmented SAUC'!R$106)+'Segmented SAUC'!R$107*#REF!</f>
        <v>#REF!</v>
      </c>
    </row>
    <row r="147" spans="1:18">
      <c r="A147" s="261" t="e">
        <f>#REF!</f>
        <v>#REF!</v>
      </c>
      <c r="B147" s="289"/>
      <c r="C147" s="289" t="e">
        <f>IF(#REF!&gt;0,'Segmented SAUC'!C$98)+'Segmented SAUC'!C$99*#REF!+IF(#REF!&gt;0,'Segmented SAUC'!C$102)+'Segmented SAUC'!C$103*#REF!+IF(#REF!&gt;0,'Segmented SAUC'!C$106)+'Segmented SAUC'!C$107*#REF!</f>
        <v>#REF!</v>
      </c>
      <c r="D147" s="289" t="e">
        <f>IF(#REF!&gt;0,'Segmented SAUC'!D$98)+'Segmented SAUC'!D$99*#REF!+IF(#REF!&gt;0,'Segmented SAUC'!D$102)+'Segmented SAUC'!D$103*#REF!+IF(#REF!&gt;0,'Segmented SAUC'!D$106)+'Segmented SAUC'!D$107*#REF!</f>
        <v>#REF!</v>
      </c>
      <c r="E147" s="289" t="e">
        <f>IF(#REF!&gt;0,'Segmented SAUC'!E$98)+'Segmented SAUC'!E$99*#REF!+IF(#REF!&gt;0,'Segmented SAUC'!E$102)+'Segmented SAUC'!E$103*#REF!+IF(#REF!&gt;0,'Segmented SAUC'!E$106)+'Segmented SAUC'!E$107*#REF!</f>
        <v>#REF!</v>
      </c>
      <c r="F147" s="289" t="e">
        <f>IF(#REF!&gt;0,'Segmented SAUC'!F$98)+'Segmented SAUC'!F$99*#REF!+IF(#REF!&gt;0,'Segmented SAUC'!F$102)+'Segmented SAUC'!F$103*#REF!+IF(#REF!&gt;0,'Segmented SAUC'!F$106)+'Segmented SAUC'!F$107*#REF!</f>
        <v>#REF!</v>
      </c>
      <c r="G147" s="289" t="e">
        <f>IF(#REF!&gt;0,'Segmented SAUC'!G$98)+'Segmented SAUC'!G$99*#REF!+IF(#REF!&gt;0,'Segmented SAUC'!G$102)+'Segmented SAUC'!G$103*#REF!+IF(#REF!&gt;0,'Segmented SAUC'!G$106)+'Segmented SAUC'!G$107*#REF!</f>
        <v>#REF!</v>
      </c>
      <c r="H147" s="289" t="e">
        <f>IF(#REF!&gt;0,'Segmented SAUC'!H$98)+'Segmented SAUC'!H$99*#REF!+IF(#REF!&gt;0,'Segmented SAUC'!H$102)+'Segmented SAUC'!H$103*#REF!+IF(#REF!&gt;0,'Segmented SAUC'!H$106)+'Segmented SAUC'!H$107*#REF!</f>
        <v>#REF!</v>
      </c>
      <c r="I147" s="290" t="e">
        <f>IF(#REF!&gt;0,'Segmented SAUC'!I$98)+'Segmented SAUC'!I$99*#REF!+IF(#REF!&gt;0,'Segmented SAUC'!I$102)+'Segmented SAUC'!I$103*#REF!+IF(#REF!&gt;0,'Segmented SAUC'!I$106)+'Segmented SAUC'!I$107*#REF!</f>
        <v>#REF!</v>
      </c>
      <c r="J147" s="289" t="e">
        <f>IF(#REF!&gt;0,'Segmented SAUC'!J$98)+'Segmented SAUC'!J$99*#REF!+IF(#REF!&gt;0,'Segmented SAUC'!J$102)+'Segmented SAUC'!J$103*#REF!+IF(#REF!&gt;0,'Segmented SAUC'!J$106)+'Segmented SAUC'!J$107*#REF!</f>
        <v>#REF!</v>
      </c>
      <c r="K147" s="289" t="e">
        <f>IF(#REF!&gt;0,'Segmented SAUC'!K$98)+'Segmented SAUC'!K$99*#REF!+IF(#REF!&gt;0,'Segmented SAUC'!K$102)+'Segmented SAUC'!K$103*#REF!+IF(#REF!&gt;0,'Segmented SAUC'!K$106)+'Segmented SAUC'!K$107*#REF!</f>
        <v>#REF!</v>
      </c>
      <c r="L147" s="289" t="e">
        <f>IF(#REF!&gt;0,'Segmented SAUC'!L$98)+'Segmented SAUC'!L$99*#REF!+IF(#REF!&gt;0,'Segmented SAUC'!L$102)+'Segmented SAUC'!L$103*#REF!+IF(#REF!&gt;0,'Segmented SAUC'!L$106)+'Segmented SAUC'!L$107*#REF!</f>
        <v>#REF!</v>
      </c>
      <c r="M147" s="289" t="e">
        <f>IF(#REF!&gt;0,'Segmented SAUC'!M$98)+'Segmented SAUC'!M$99*#REF!+IF(#REF!&gt;0,'Segmented SAUC'!M$102)+'Segmented SAUC'!M$103*#REF!+IF(#REF!&gt;0,'Segmented SAUC'!M$106)+'Segmented SAUC'!M$107*#REF!</f>
        <v>#REF!</v>
      </c>
      <c r="N147" s="289" t="e">
        <f>IF(#REF!&gt;0,'Segmented SAUC'!N$98)+'Segmented SAUC'!N$99*#REF!+IF(#REF!&gt;0,'Segmented SAUC'!N$102)+'Segmented SAUC'!N$103*#REF!+IF(#REF!&gt;0,'Segmented SAUC'!N$106)+'Segmented SAUC'!N$107*#REF!</f>
        <v>#REF!</v>
      </c>
      <c r="O147" s="289" t="e">
        <f>IF(#REF!&gt;0,'Segmented SAUC'!O$98)+'Segmented SAUC'!O$99*#REF!+IF(#REF!&gt;0,'Segmented SAUC'!O$102)+'Segmented SAUC'!O$103*#REF!+IF(#REF!&gt;0,'Segmented SAUC'!O$106)+'Segmented SAUC'!O$107*#REF!</f>
        <v>#REF!</v>
      </c>
      <c r="P147" s="289" t="e">
        <f>IF(#REF!&gt;0,'Segmented SAUC'!P$98)+'Segmented SAUC'!P$99*#REF!+IF(#REF!&gt;0,'Segmented SAUC'!P$102)+'Segmented SAUC'!P$103*#REF!+IF(#REF!&gt;0,'Segmented SAUC'!P$106)+'Segmented SAUC'!P$107*#REF!</f>
        <v>#REF!</v>
      </c>
      <c r="Q147" s="289" t="e">
        <f>IF(#REF!&gt;0,'Segmented SAUC'!Q$98)+'Segmented SAUC'!Q$99*#REF!+IF(#REF!&gt;0,'Segmented SAUC'!Q$102)+'Segmented SAUC'!Q$103*#REF!+IF(#REF!&gt;0,'Segmented SAUC'!Q$106)+'Segmented SAUC'!Q$107*#REF!</f>
        <v>#REF!</v>
      </c>
      <c r="R147" s="289" t="e">
        <f>IF(#REF!&gt;0,'Segmented SAUC'!R$98)+'Segmented SAUC'!R$99*#REF!+IF(#REF!&gt;0,'Segmented SAUC'!R$102)+'Segmented SAUC'!R$103*#REF!+IF(#REF!&gt;0,'Segmented SAUC'!R$106)+'Segmented SAUC'!R$107*#REF!</f>
        <v>#REF!</v>
      </c>
    </row>
    <row r="148" spans="1:18">
      <c r="A148" s="261" t="e">
        <f>#REF!</f>
        <v>#REF!</v>
      </c>
      <c r="B148" s="289"/>
      <c r="C148" s="289" t="e">
        <f>IF(#REF!&gt;0,'Segmented SAUC'!C$98)+'Segmented SAUC'!C$99*#REF!+IF(#REF!&gt;0,'Segmented SAUC'!C$102)+'Segmented SAUC'!C$103*#REF!+IF(#REF!&gt;0,'Segmented SAUC'!C$106)+'Segmented SAUC'!C$107*#REF!</f>
        <v>#REF!</v>
      </c>
      <c r="D148" s="289" t="e">
        <f>IF(#REF!&gt;0,'Segmented SAUC'!D$98)+'Segmented SAUC'!D$99*#REF!+IF(#REF!&gt;0,'Segmented SAUC'!D$102)+'Segmented SAUC'!D$103*#REF!+IF(#REF!&gt;0,'Segmented SAUC'!D$106)+'Segmented SAUC'!D$107*#REF!</f>
        <v>#REF!</v>
      </c>
      <c r="E148" s="289" t="e">
        <f>IF(#REF!&gt;0,'Segmented SAUC'!E$98)+'Segmented SAUC'!E$99*#REF!+IF(#REF!&gt;0,'Segmented SAUC'!E$102)+'Segmented SAUC'!E$103*#REF!+IF(#REF!&gt;0,'Segmented SAUC'!E$106)+'Segmented SAUC'!E$107*#REF!</f>
        <v>#REF!</v>
      </c>
      <c r="F148" s="289" t="e">
        <f>IF(#REF!&gt;0,'Segmented SAUC'!F$98)+'Segmented SAUC'!F$99*#REF!+IF(#REF!&gt;0,'Segmented SAUC'!F$102)+'Segmented SAUC'!F$103*#REF!+IF(#REF!&gt;0,'Segmented SAUC'!F$106)+'Segmented SAUC'!F$107*#REF!</f>
        <v>#REF!</v>
      </c>
      <c r="G148" s="289" t="e">
        <f>IF(#REF!&gt;0,'Segmented SAUC'!G$98)+'Segmented SAUC'!G$99*#REF!+IF(#REF!&gt;0,'Segmented SAUC'!G$102)+'Segmented SAUC'!G$103*#REF!+IF(#REF!&gt;0,'Segmented SAUC'!G$106)+'Segmented SAUC'!G$107*#REF!</f>
        <v>#REF!</v>
      </c>
      <c r="H148" s="289" t="e">
        <f>IF(#REF!&gt;0,'Segmented SAUC'!H$98)+'Segmented SAUC'!H$99*#REF!+IF(#REF!&gt;0,'Segmented SAUC'!H$102)+'Segmented SAUC'!H$103*#REF!+IF(#REF!&gt;0,'Segmented SAUC'!H$106)+'Segmented SAUC'!H$107*#REF!</f>
        <v>#REF!</v>
      </c>
      <c r="I148" s="290" t="e">
        <f>IF(#REF!&gt;0,'Segmented SAUC'!I$98)+'Segmented SAUC'!I$99*#REF!+IF(#REF!&gt;0,'Segmented SAUC'!I$102)+'Segmented SAUC'!I$103*#REF!+IF(#REF!&gt;0,'Segmented SAUC'!I$106)+'Segmented SAUC'!I$107*#REF!</f>
        <v>#REF!</v>
      </c>
      <c r="J148" s="289" t="e">
        <f>IF(#REF!&gt;0,'Segmented SAUC'!J$98)+'Segmented SAUC'!J$99*#REF!+IF(#REF!&gt;0,'Segmented SAUC'!J$102)+'Segmented SAUC'!J$103*#REF!+IF(#REF!&gt;0,'Segmented SAUC'!J$106)+'Segmented SAUC'!J$107*#REF!</f>
        <v>#REF!</v>
      </c>
      <c r="K148" s="289" t="e">
        <f>IF(#REF!&gt;0,'Segmented SAUC'!K$98)+'Segmented SAUC'!K$99*#REF!+IF(#REF!&gt;0,'Segmented SAUC'!K$102)+'Segmented SAUC'!K$103*#REF!+IF(#REF!&gt;0,'Segmented SAUC'!K$106)+'Segmented SAUC'!K$107*#REF!</f>
        <v>#REF!</v>
      </c>
      <c r="L148" s="289" t="e">
        <f>IF(#REF!&gt;0,'Segmented SAUC'!L$98)+'Segmented SAUC'!L$99*#REF!+IF(#REF!&gt;0,'Segmented SAUC'!L$102)+'Segmented SAUC'!L$103*#REF!+IF(#REF!&gt;0,'Segmented SAUC'!L$106)+'Segmented SAUC'!L$107*#REF!</f>
        <v>#REF!</v>
      </c>
      <c r="M148" s="289" t="e">
        <f>IF(#REF!&gt;0,'Segmented SAUC'!M$98)+'Segmented SAUC'!M$99*#REF!+IF(#REF!&gt;0,'Segmented SAUC'!M$102)+'Segmented SAUC'!M$103*#REF!+IF(#REF!&gt;0,'Segmented SAUC'!M$106)+'Segmented SAUC'!M$107*#REF!</f>
        <v>#REF!</v>
      </c>
      <c r="N148" s="289" t="e">
        <f>IF(#REF!&gt;0,'Segmented SAUC'!N$98)+'Segmented SAUC'!N$99*#REF!+IF(#REF!&gt;0,'Segmented SAUC'!N$102)+'Segmented SAUC'!N$103*#REF!+IF(#REF!&gt;0,'Segmented SAUC'!N$106)+'Segmented SAUC'!N$107*#REF!</f>
        <v>#REF!</v>
      </c>
      <c r="O148" s="289" t="e">
        <f>IF(#REF!&gt;0,'Segmented SAUC'!O$98)+'Segmented SAUC'!O$99*#REF!+IF(#REF!&gt;0,'Segmented SAUC'!O$102)+'Segmented SAUC'!O$103*#REF!+IF(#REF!&gt;0,'Segmented SAUC'!O$106)+'Segmented SAUC'!O$107*#REF!</f>
        <v>#REF!</v>
      </c>
      <c r="P148" s="289" t="e">
        <f>IF(#REF!&gt;0,'Segmented SAUC'!P$98)+'Segmented SAUC'!P$99*#REF!+IF(#REF!&gt;0,'Segmented SAUC'!P$102)+'Segmented SAUC'!P$103*#REF!+IF(#REF!&gt;0,'Segmented SAUC'!P$106)+'Segmented SAUC'!P$107*#REF!</f>
        <v>#REF!</v>
      </c>
      <c r="Q148" s="289" t="e">
        <f>IF(#REF!&gt;0,'Segmented SAUC'!Q$98)+'Segmented SAUC'!Q$99*#REF!+IF(#REF!&gt;0,'Segmented SAUC'!Q$102)+'Segmented SAUC'!Q$103*#REF!+IF(#REF!&gt;0,'Segmented SAUC'!Q$106)+'Segmented SAUC'!Q$107*#REF!</f>
        <v>#REF!</v>
      </c>
      <c r="R148" s="289" t="e">
        <f>IF(#REF!&gt;0,'Segmented SAUC'!R$98)+'Segmented SAUC'!R$99*#REF!+IF(#REF!&gt;0,'Segmented SAUC'!R$102)+'Segmented SAUC'!R$103*#REF!+IF(#REF!&gt;0,'Segmented SAUC'!R$106)+'Segmented SAUC'!R$107*#REF!</f>
        <v>#REF!</v>
      </c>
    </row>
    <row r="149" spans="1:18">
      <c r="A149" s="261" t="e">
        <f>#REF!</f>
        <v>#REF!</v>
      </c>
      <c r="B149" s="289"/>
      <c r="C149" s="289" t="e">
        <f>IF(#REF!&gt;0,'Segmented SAUC'!C$98)+'Segmented SAUC'!C$99*#REF!+IF(#REF!&gt;0,'Segmented SAUC'!C$102)+'Segmented SAUC'!C$103*#REF!+IF(#REF!&gt;0,'Segmented SAUC'!C$106)+'Segmented SAUC'!C$107*#REF!</f>
        <v>#REF!</v>
      </c>
      <c r="D149" s="289" t="e">
        <f>IF(#REF!&gt;0,'Segmented SAUC'!D$98)+'Segmented SAUC'!D$99*#REF!+IF(#REF!&gt;0,'Segmented SAUC'!D$102)+'Segmented SAUC'!D$103*#REF!+IF(#REF!&gt;0,'Segmented SAUC'!D$106)+'Segmented SAUC'!D$107*#REF!</f>
        <v>#REF!</v>
      </c>
      <c r="E149" s="289" t="e">
        <f>IF(#REF!&gt;0,'Segmented SAUC'!E$98)+'Segmented SAUC'!E$99*#REF!+IF(#REF!&gt;0,'Segmented SAUC'!E$102)+'Segmented SAUC'!E$103*#REF!+IF(#REF!&gt;0,'Segmented SAUC'!E$106)+'Segmented SAUC'!E$107*#REF!</f>
        <v>#REF!</v>
      </c>
      <c r="F149" s="289" t="e">
        <f>IF(#REF!&gt;0,'Segmented SAUC'!F$98)+'Segmented SAUC'!F$99*#REF!+IF(#REF!&gt;0,'Segmented SAUC'!F$102)+'Segmented SAUC'!F$103*#REF!+IF(#REF!&gt;0,'Segmented SAUC'!F$106)+'Segmented SAUC'!F$107*#REF!</f>
        <v>#REF!</v>
      </c>
      <c r="G149" s="289" t="e">
        <f>IF(#REF!&gt;0,'Segmented SAUC'!G$98)+'Segmented SAUC'!G$99*#REF!+IF(#REF!&gt;0,'Segmented SAUC'!G$102)+'Segmented SAUC'!G$103*#REF!+IF(#REF!&gt;0,'Segmented SAUC'!G$106)+'Segmented SAUC'!G$107*#REF!</f>
        <v>#REF!</v>
      </c>
      <c r="H149" s="289" t="e">
        <f>IF(#REF!&gt;0,'Segmented SAUC'!H$98)+'Segmented SAUC'!H$99*#REF!+IF(#REF!&gt;0,'Segmented SAUC'!H$102)+'Segmented SAUC'!H$103*#REF!+IF(#REF!&gt;0,'Segmented SAUC'!H$106)+'Segmented SAUC'!H$107*#REF!</f>
        <v>#REF!</v>
      </c>
      <c r="I149" s="290" t="e">
        <f>IF(#REF!&gt;0,'Segmented SAUC'!I$98)+'Segmented SAUC'!I$99*#REF!+IF(#REF!&gt;0,'Segmented SAUC'!I$102)+'Segmented SAUC'!I$103*#REF!+IF(#REF!&gt;0,'Segmented SAUC'!I$106)+'Segmented SAUC'!I$107*#REF!</f>
        <v>#REF!</v>
      </c>
      <c r="J149" s="289" t="e">
        <f>IF(#REF!&gt;0,'Segmented SAUC'!J$98)+'Segmented SAUC'!J$99*#REF!+IF(#REF!&gt;0,'Segmented SAUC'!J$102)+'Segmented SAUC'!J$103*#REF!+IF(#REF!&gt;0,'Segmented SAUC'!J$106)+'Segmented SAUC'!J$107*#REF!</f>
        <v>#REF!</v>
      </c>
      <c r="K149" s="289" t="e">
        <f>IF(#REF!&gt;0,'Segmented SAUC'!K$98)+'Segmented SAUC'!K$99*#REF!+IF(#REF!&gt;0,'Segmented SAUC'!K$102)+'Segmented SAUC'!K$103*#REF!+IF(#REF!&gt;0,'Segmented SAUC'!K$106)+'Segmented SAUC'!K$107*#REF!</f>
        <v>#REF!</v>
      </c>
      <c r="L149" s="289" t="e">
        <f>IF(#REF!&gt;0,'Segmented SAUC'!L$98)+'Segmented SAUC'!L$99*#REF!+IF(#REF!&gt;0,'Segmented SAUC'!L$102)+'Segmented SAUC'!L$103*#REF!+IF(#REF!&gt;0,'Segmented SAUC'!L$106)+'Segmented SAUC'!L$107*#REF!</f>
        <v>#REF!</v>
      </c>
      <c r="M149" s="289" t="e">
        <f>IF(#REF!&gt;0,'Segmented SAUC'!M$98)+'Segmented SAUC'!M$99*#REF!+IF(#REF!&gt;0,'Segmented SAUC'!M$102)+'Segmented SAUC'!M$103*#REF!+IF(#REF!&gt;0,'Segmented SAUC'!M$106)+'Segmented SAUC'!M$107*#REF!</f>
        <v>#REF!</v>
      </c>
      <c r="N149" s="289" t="e">
        <f>IF(#REF!&gt;0,'Segmented SAUC'!N$98)+'Segmented SAUC'!N$99*#REF!+IF(#REF!&gt;0,'Segmented SAUC'!N$102)+'Segmented SAUC'!N$103*#REF!+IF(#REF!&gt;0,'Segmented SAUC'!N$106)+'Segmented SAUC'!N$107*#REF!</f>
        <v>#REF!</v>
      </c>
      <c r="O149" s="289" t="e">
        <f>IF(#REF!&gt;0,'Segmented SAUC'!O$98)+'Segmented SAUC'!O$99*#REF!+IF(#REF!&gt;0,'Segmented SAUC'!O$102)+'Segmented SAUC'!O$103*#REF!+IF(#REF!&gt;0,'Segmented SAUC'!O$106)+'Segmented SAUC'!O$107*#REF!</f>
        <v>#REF!</v>
      </c>
      <c r="P149" s="289" t="e">
        <f>IF(#REF!&gt;0,'Segmented SAUC'!P$98)+'Segmented SAUC'!P$99*#REF!+IF(#REF!&gt;0,'Segmented SAUC'!P$102)+'Segmented SAUC'!P$103*#REF!+IF(#REF!&gt;0,'Segmented SAUC'!P$106)+'Segmented SAUC'!P$107*#REF!</f>
        <v>#REF!</v>
      </c>
      <c r="Q149" s="289" t="e">
        <f>IF(#REF!&gt;0,'Segmented SAUC'!Q$98)+'Segmented SAUC'!Q$99*#REF!+IF(#REF!&gt;0,'Segmented SAUC'!Q$102)+'Segmented SAUC'!Q$103*#REF!+IF(#REF!&gt;0,'Segmented SAUC'!Q$106)+'Segmented SAUC'!Q$107*#REF!</f>
        <v>#REF!</v>
      </c>
      <c r="R149" s="289" t="e">
        <f>IF(#REF!&gt;0,'Segmented SAUC'!R$98)+'Segmented SAUC'!R$99*#REF!+IF(#REF!&gt;0,'Segmented SAUC'!R$102)+'Segmented SAUC'!R$103*#REF!+IF(#REF!&gt;0,'Segmented SAUC'!R$106)+'Segmented SAUC'!R$107*#REF!</f>
        <v>#REF!</v>
      </c>
    </row>
    <row r="150" spans="1:18" s="291" customFormat="1">
      <c r="A150" s="261" t="e">
        <f>#REF!</f>
        <v>#REF!</v>
      </c>
      <c r="B150" s="289"/>
      <c r="C150" s="289" t="e">
        <f>IF(#REF!&gt;0,'Segmented SAUC'!C$98)+'Segmented SAUC'!C$99*#REF!+IF(#REF!&gt;0,'Segmented SAUC'!C$102)+'Segmented SAUC'!C$103*#REF!+IF(#REF!&gt;0,'Segmented SAUC'!C$106)+'Segmented SAUC'!C$107*#REF!</f>
        <v>#REF!</v>
      </c>
      <c r="D150" s="289" t="e">
        <f>IF(#REF!&gt;0,'Segmented SAUC'!D$98)+'Segmented SAUC'!D$99*#REF!+IF(#REF!&gt;0,'Segmented SAUC'!D$102)+'Segmented SAUC'!D$103*#REF!+IF(#REF!&gt;0,'Segmented SAUC'!D$106)+'Segmented SAUC'!D$107*#REF!</f>
        <v>#REF!</v>
      </c>
      <c r="E150" s="289" t="e">
        <f>IF(#REF!&gt;0,'Segmented SAUC'!E$98)+'Segmented SAUC'!E$99*#REF!+IF(#REF!&gt;0,'Segmented SAUC'!E$102)+'Segmented SAUC'!E$103*#REF!+IF(#REF!&gt;0,'Segmented SAUC'!E$106)+'Segmented SAUC'!E$107*#REF!</f>
        <v>#REF!</v>
      </c>
      <c r="F150" s="289" t="e">
        <f>IF(#REF!&gt;0,'Segmented SAUC'!F$98)+'Segmented SAUC'!F$99*#REF!+IF(#REF!&gt;0,'Segmented SAUC'!F$102)+'Segmented SAUC'!F$103*#REF!+IF(#REF!&gt;0,'Segmented SAUC'!F$106)+'Segmented SAUC'!F$107*#REF!</f>
        <v>#REF!</v>
      </c>
      <c r="G150" s="289" t="e">
        <f>IF(#REF!&gt;0,'Segmented SAUC'!G$98)+'Segmented SAUC'!G$99*#REF!+IF(#REF!&gt;0,'Segmented SAUC'!G$102)+'Segmented SAUC'!G$103*#REF!+IF(#REF!&gt;0,'Segmented SAUC'!G$106)+'Segmented SAUC'!G$107*#REF!</f>
        <v>#REF!</v>
      </c>
      <c r="H150" s="289" t="e">
        <f>IF(#REF!&gt;0,'Segmented SAUC'!H$98)+'Segmented SAUC'!H$99*#REF!+IF(#REF!&gt;0,'Segmented SAUC'!H$102)+'Segmented SAUC'!H$103*#REF!+IF(#REF!&gt;0,'Segmented SAUC'!H$106)+'Segmented SAUC'!H$107*#REF!</f>
        <v>#REF!</v>
      </c>
      <c r="I150" s="290" t="e">
        <f>IF(#REF!&gt;0,'Segmented SAUC'!I$98)+'Segmented SAUC'!I$99*#REF!+IF(#REF!&gt;0,'Segmented SAUC'!I$102)+'Segmented SAUC'!I$103*#REF!+IF(#REF!&gt;0,'Segmented SAUC'!I$106)+'Segmented SAUC'!I$107*#REF!</f>
        <v>#REF!</v>
      </c>
      <c r="J150" s="289" t="e">
        <f>IF(#REF!&gt;0,'Segmented SAUC'!J$98)+'Segmented SAUC'!J$99*#REF!+IF(#REF!&gt;0,'Segmented SAUC'!J$102)+'Segmented SAUC'!J$103*#REF!+IF(#REF!&gt;0,'Segmented SAUC'!J$106)+'Segmented SAUC'!J$107*#REF!</f>
        <v>#REF!</v>
      </c>
      <c r="K150" s="289" t="e">
        <f>IF(#REF!&gt;0,'Segmented SAUC'!K$98)+'Segmented SAUC'!K$99*#REF!+IF(#REF!&gt;0,'Segmented SAUC'!K$102)+'Segmented SAUC'!K$103*#REF!+IF(#REF!&gt;0,'Segmented SAUC'!K$106)+'Segmented SAUC'!K$107*#REF!</f>
        <v>#REF!</v>
      </c>
      <c r="L150" s="289" t="e">
        <f>IF(#REF!&gt;0,'Segmented SAUC'!L$98)+'Segmented SAUC'!L$99*#REF!+IF(#REF!&gt;0,'Segmented SAUC'!L$102)+'Segmented SAUC'!L$103*#REF!+IF(#REF!&gt;0,'Segmented SAUC'!L$106)+'Segmented SAUC'!L$107*#REF!</f>
        <v>#REF!</v>
      </c>
      <c r="M150" s="289" t="e">
        <f>IF(#REF!&gt;0,'Segmented SAUC'!M$98)+'Segmented SAUC'!M$99*#REF!+IF(#REF!&gt;0,'Segmented SAUC'!M$102)+'Segmented SAUC'!M$103*#REF!+IF(#REF!&gt;0,'Segmented SAUC'!M$106)+'Segmented SAUC'!M$107*#REF!</f>
        <v>#REF!</v>
      </c>
      <c r="N150" s="289" t="e">
        <f>IF(#REF!&gt;0,'Segmented SAUC'!N$98)+'Segmented SAUC'!N$99*#REF!+IF(#REF!&gt;0,'Segmented SAUC'!N$102)+'Segmented SAUC'!N$103*#REF!+IF(#REF!&gt;0,'Segmented SAUC'!N$106)+'Segmented SAUC'!N$107*#REF!</f>
        <v>#REF!</v>
      </c>
      <c r="O150" s="289" t="e">
        <f>IF(#REF!&gt;0,'Segmented SAUC'!O$98)+'Segmented SAUC'!O$99*#REF!+IF(#REF!&gt;0,'Segmented SAUC'!O$102)+'Segmented SAUC'!O$103*#REF!+IF(#REF!&gt;0,'Segmented SAUC'!O$106)+'Segmented SAUC'!O$107*#REF!</f>
        <v>#REF!</v>
      </c>
      <c r="P150" s="289" t="e">
        <f>IF(#REF!&gt;0,'Segmented SAUC'!P$98)+'Segmented SAUC'!P$99*#REF!+IF(#REF!&gt;0,'Segmented SAUC'!P$102)+'Segmented SAUC'!P$103*#REF!+IF(#REF!&gt;0,'Segmented SAUC'!P$106)+'Segmented SAUC'!P$107*#REF!</f>
        <v>#REF!</v>
      </c>
      <c r="Q150" s="289" t="e">
        <f>IF(#REF!&gt;0,'Segmented SAUC'!Q$98)+'Segmented SAUC'!Q$99*#REF!+IF(#REF!&gt;0,'Segmented SAUC'!Q$102)+'Segmented SAUC'!Q$103*#REF!+IF(#REF!&gt;0,'Segmented SAUC'!Q$106)+'Segmented SAUC'!Q$107*#REF!</f>
        <v>#REF!</v>
      </c>
      <c r="R150" s="289" t="e">
        <f>IF(#REF!&gt;0,'Segmented SAUC'!R$98)+'Segmented SAUC'!R$99*#REF!+IF(#REF!&gt;0,'Segmented SAUC'!R$102)+'Segmented SAUC'!R$103*#REF!+IF(#REF!&gt;0,'Segmented SAUC'!R$106)+'Segmented SAUC'!R$107*#REF!</f>
        <v>#REF!</v>
      </c>
    </row>
    <row r="151" spans="1:18">
      <c r="A151" s="261" t="e">
        <f>#REF!</f>
        <v>#REF!</v>
      </c>
      <c r="B151" s="289"/>
      <c r="C151" s="289" t="e">
        <f>IF(#REF!&gt;0,'Segmented SAUC'!C$98)+'Segmented SAUC'!C$99*#REF!+IF(#REF!&gt;0,'Segmented SAUC'!C$102)+'Segmented SAUC'!C$103*#REF!+IF(#REF!&gt;0,'Segmented SAUC'!C$106)+'Segmented SAUC'!C$107*#REF!</f>
        <v>#REF!</v>
      </c>
      <c r="D151" s="289" t="e">
        <f>IF(#REF!&gt;0,'Segmented SAUC'!D$98)+'Segmented SAUC'!D$99*#REF!+IF(#REF!&gt;0,'Segmented SAUC'!D$102)+'Segmented SAUC'!D$103*#REF!+IF(#REF!&gt;0,'Segmented SAUC'!D$106)+'Segmented SAUC'!D$107*#REF!</f>
        <v>#REF!</v>
      </c>
      <c r="E151" s="289" t="e">
        <f>IF(#REF!&gt;0,'Segmented SAUC'!E$98)+'Segmented SAUC'!E$99*#REF!+IF(#REF!&gt;0,'Segmented SAUC'!E$102)+'Segmented SAUC'!E$103*#REF!+IF(#REF!&gt;0,'Segmented SAUC'!E$106)+'Segmented SAUC'!E$107*#REF!</f>
        <v>#REF!</v>
      </c>
      <c r="F151" s="289" t="e">
        <f>IF(#REF!&gt;0,'Segmented SAUC'!F$98)+'Segmented SAUC'!F$99*#REF!+IF(#REF!&gt;0,'Segmented SAUC'!F$102)+'Segmented SAUC'!F$103*#REF!+IF(#REF!&gt;0,'Segmented SAUC'!F$106)+'Segmented SAUC'!F$107*#REF!</f>
        <v>#REF!</v>
      </c>
      <c r="G151" s="289" t="e">
        <f>IF(#REF!&gt;0,'Segmented SAUC'!G$98)+'Segmented SAUC'!G$99*#REF!+IF(#REF!&gt;0,'Segmented SAUC'!G$102)+'Segmented SAUC'!G$103*#REF!+IF(#REF!&gt;0,'Segmented SAUC'!G$106)+'Segmented SAUC'!G$107*#REF!</f>
        <v>#REF!</v>
      </c>
      <c r="H151" s="289" t="e">
        <f>IF(#REF!&gt;0,'Segmented SAUC'!H$98)+'Segmented SAUC'!H$99*#REF!+IF(#REF!&gt;0,'Segmented SAUC'!H$102)+'Segmented SAUC'!H$103*#REF!+IF(#REF!&gt;0,'Segmented SAUC'!H$106)+'Segmented SAUC'!H$107*#REF!</f>
        <v>#REF!</v>
      </c>
      <c r="I151" s="290" t="e">
        <f>IF(#REF!&gt;0,'Segmented SAUC'!I$98)+'Segmented SAUC'!I$99*#REF!+IF(#REF!&gt;0,'Segmented SAUC'!I$102)+'Segmented SAUC'!I$103*#REF!+IF(#REF!&gt;0,'Segmented SAUC'!I$106)+'Segmented SAUC'!I$107*#REF!</f>
        <v>#REF!</v>
      </c>
      <c r="J151" s="289" t="e">
        <f>IF(#REF!&gt;0,'Segmented SAUC'!J$98)+'Segmented SAUC'!J$99*#REF!+IF(#REF!&gt;0,'Segmented SAUC'!J$102)+'Segmented SAUC'!J$103*#REF!+IF(#REF!&gt;0,'Segmented SAUC'!J$106)+'Segmented SAUC'!J$107*#REF!</f>
        <v>#REF!</v>
      </c>
      <c r="K151" s="289" t="e">
        <f>IF(#REF!&gt;0,'Segmented SAUC'!K$98)+'Segmented SAUC'!K$99*#REF!+IF(#REF!&gt;0,'Segmented SAUC'!K$102)+'Segmented SAUC'!K$103*#REF!+IF(#REF!&gt;0,'Segmented SAUC'!K$106)+'Segmented SAUC'!K$107*#REF!</f>
        <v>#REF!</v>
      </c>
      <c r="L151" s="289" t="e">
        <f>IF(#REF!&gt;0,'Segmented SAUC'!L$98)+'Segmented SAUC'!L$99*#REF!+IF(#REF!&gt;0,'Segmented SAUC'!L$102)+'Segmented SAUC'!L$103*#REF!+IF(#REF!&gt;0,'Segmented SAUC'!L$106)+'Segmented SAUC'!L$107*#REF!</f>
        <v>#REF!</v>
      </c>
      <c r="M151" s="289" t="e">
        <f>IF(#REF!&gt;0,'Segmented SAUC'!M$98)+'Segmented SAUC'!M$99*#REF!+IF(#REF!&gt;0,'Segmented SAUC'!M$102)+'Segmented SAUC'!M$103*#REF!+IF(#REF!&gt;0,'Segmented SAUC'!M$106)+'Segmented SAUC'!M$107*#REF!</f>
        <v>#REF!</v>
      </c>
      <c r="N151" s="289" t="e">
        <f>IF(#REF!&gt;0,'Segmented SAUC'!N$98)+'Segmented SAUC'!N$99*#REF!+IF(#REF!&gt;0,'Segmented SAUC'!N$102)+'Segmented SAUC'!N$103*#REF!+IF(#REF!&gt;0,'Segmented SAUC'!N$106)+'Segmented SAUC'!N$107*#REF!</f>
        <v>#REF!</v>
      </c>
      <c r="O151" s="289" t="e">
        <f>IF(#REF!&gt;0,'Segmented SAUC'!O$98)+'Segmented SAUC'!O$99*#REF!+IF(#REF!&gt;0,'Segmented SAUC'!O$102)+'Segmented SAUC'!O$103*#REF!+IF(#REF!&gt;0,'Segmented SAUC'!O$106)+'Segmented SAUC'!O$107*#REF!</f>
        <v>#REF!</v>
      </c>
      <c r="P151" s="289" t="e">
        <f>IF(#REF!&gt;0,'Segmented SAUC'!P$98)+'Segmented SAUC'!P$99*#REF!+IF(#REF!&gt;0,'Segmented SAUC'!P$102)+'Segmented SAUC'!P$103*#REF!+IF(#REF!&gt;0,'Segmented SAUC'!P$106)+'Segmented SAUC'!P$107*#REF!</f>
        <v>#REF!</v>
      </c>
      <c r="Q151" s="289" t="e">
        <f>IF(#REF!&gt;0,'Segmented SAUC'!Q$98)+'Segmented SAUC'!Q$99*#REF!+IF(#REF!&gt;0,'Segmented SAUC'!Q$102)+'Segmented SAUC'!Q$103*#REF!+IF(#REF!&gt;0,'Segmented SAUC'!Q$106)+'Segmented SAUC'!Q$107*#REF!</f>
        <v>#REF!</v>
      </c>
      <c r="R151" s="289" t="e">
        <f>IF(#REF!&gt;0,'Segmented SAUC'!R$98)+'Segmented SAUC'!R$99*#REF!+IF(#REF!&gt;0,'Segmented SAUC'!R$102)+'Segmented SAUC'!R$103*#REF!+IF(#REF!&gt;0,'Segmented SAUC'!R$106)+'Segmented SAUC'!R$107*#REF!</f>
        <v>#REF!</v>
      </c>
    </row>
    <row r="152" spans="1:18">
      <c r="A152" s="261" t="e">
        <f>#REF!</f>
        <v>#REF!</v>
      </c>
      <c r="B152" s="289"/>
      <c r="C152" s="289" t="e">
        <f>IF(#REF!&gt;0,'Segmented SAUC'!C$98)+'Segmented SAUC'!C$99*#REF!+IF(#REF!&gt;0,'Segmented SAUC'!C$102)+'Segmented SAUC'!C$103*#REF!+IF(#REF!&gt;0,'Segmented SAUC'!C$106)+'Segmented SAUC'!C$107*#REF!</f>
        <v>#REF!</v>
      </c>
      <c r="D152" s="289" t="e">
        <f>IF(#REF!&gt;0,'Segmented SAUC'!D$98)+'Segmented SAUC'!D$99*#REF!+IF(#REF!&gt;0,'Segmented SAUC'!D$102)+'Segmented SAUC'!D$103*#REF!+IF(#REF!&gt;0,'Segmented SAUC'!D$106)+'Segmented SAUC'!D$107*#REF!</f>
        <v>#REF!</v>
      </c>
      <c r="E152" s="289" t="e">
        <f>IF(#REF!&gt;0,'Segmented SAUC'!E$98)+'Segmented SAUC'!E$99*#REF!+IF(#REF!&gt;0,'Segmented SAUC'!E$102)+'Segmented SAUC'!E$103*#REF!+IF(#REF!&gt;0,'Segmented SAUC'!E$106)+'Segmented SAUC'!E$107*#REF!</f>
        <v>#REF!</v>
      </c>
      <c r="F152" s="289" t="e">
        <f>IF(#REF!&gt;0,'Segmented SAUC'!F$98)+'Segmented SAUC'!F$99*#REF!+IF(#REF!&gt;0,'Segmented SAUC'!F$102)+'Segmented SAUC'!F$103*#REF!+IF(#REF!&gt;0,'Segmented SAUC'!F$106)+'Segmented SAUC'!F$107*#REF!</f>
        <v>#REF!</v>
      </c>
      <c r="G152" s="289" t="e">
        <f>IF(#REF!&gt;0,'Segmented SAUC'!G$98)+'Segmented SAUC'!G$99*#REF!+IF(#REF!&gt;0,'Segmented SAUC'!G$102)+'Segmented SAUC'!G$103*#REF!+IF(#REF!&gt;0,'Segmented SAUC'!G$106)+'Segmented SAUC'!G$107*#REF!</f>
        <v>#REF!</v>
      </c>
      <c r="H152" s="289" t="e">
        <f>IF(#REF!&gt;0,'Segmented SAUC'!H$98)+'Segmented SAUC'!H$99*#REF!+IF(#REF!&gt;0,'Segmented SAUC'!H$102)+'Segmented SAUC'!H$103*#REF!+IF(#REF!&gt;0,'Segmented SAUC'!H$106)+'Segmented SAUC'!H$107*#REF!</f>
        <v>#REF!</v>
      </c>
      <c r="I152" s="290" t="e">
        <f>IF(#REF!&gt;0,'Segmented SAUC'!I$98)+'Segmented SAUC'!I$99*#REF!+IF(#REF!&gt;0,'Segmented SAUC'!I$102)+'Segmented SAUC'!I$103*#REF!+IF(#REF!&gt;0,'Segmented SAUC'!I$106)+'Segmented SAUC'!I$107*#REF!</f>
        <v>#REF!</v>
      </c>
      <c r="J152" s="289" t="e">
        <f>IF(#REF!&gt;0,'Segmented SAUC'!J$98)+'Segmented SAUC'!J$99*#REF!+IF(#REF!&gt;0,'Segmented SAUC'!J$102)+'Segmented SAUC'!J$103*#REF!+IF(#REF!&gt;0,'Segmented SAUC'!J$106)+'Segmented SAUC'!J$107*#REF!</f>
        <v>#REF!</v>
      </c>
      <c r="K152" s="289" t="e">
        <f>IF(#REF!&gt;0,'Segmented SAUC'!K$98)+'Segmented SAUC'!K$99*#REF!+IF(#REF!&gt;0,'Segmented SAUC'!K$102)+'Segmented SAUC'!K$103*#REF!+IF(#REF!&gt;0,'Segmented SAUC'!K$106)+'Segmented SAUC'!K$107*#REF!</f>
        <v>#REF!</v>
      </c>
      <c r="L152" s="289" t="e">
        <f>IF(#REF!&gt;0,'Segmented SAUC'!L$98)+'Segmented SAUC'!L$99*#REF!+IF(#REF!&gt;0,'Segmented SAUC'!L$102)+'Segmented SAUC'!L$103*#REF!+IF(#REF!&gt;0,'Segmented SAUC'!L$106)+'Segmented SAUC'!L$107*#REF!</f>
        <v>#REF!</v>
      </c>
      <c r="M152" s="289" t="e">
        <f>IF(#REF!&gt;0,'Segmented SAUC'!M$98)+'Segmented SAUC'!M$99*#REF!+IF(#REF!&gt;0,'Segmented SAUC'!M$102)+'Segmented SAUC'!M$103*#REF!+IF(#REF!&gt;0,'Segmented SAUC'!M$106)+'Segmented SAUC'!M$107*#REF!</f>
        <v>#REF!</v>
      </c>
      <c r="N152" s="289" t="e">
        <f>IF(#REF!&gt;0,'Segmented SAUC'!N$98)+'Segmented SAUC'!N$99*#REF!+IF(#REF!&gt;0,'Segmented SAUC'!N$102)+'Segmented SAUC'!N$103*#REF!+IF(#REF!&gt;0,'Segmented SAUC'!N$106)+'Segmented SAUC'!N$107*#REF!</f>
        <v>#REF!</v>
      </c>
      <c r="O152" s="289" t="e">
        <f>IF(#REF!&gt;0,'Segmented SAUC'!O$98)+'Segmented SAUC'!O$99*#REF!+IF(#REF!&gt;0,'Segmented SAUC'!O$102)+'Segmented SAUC'!O$103*#REF!+IF(#REF!&gt;0,'Segmented SAUC'!O$106)+'Segmented SAUC'!O$107*#REF!</f>
        <v>#REF!</v>
      </c>
      <c r="P152" s="289" t="e">
        <f>IF(#REF!&gt;0,'Segmented SAUC'!P$98)+'Segmented SAUC'!P$99*#REF!+IF(#REF!&gt;0,'Segmented SAUC'!P$102)+'Segmented SAUC'!P$103*#REF!+IF(#REF!&gt;0,'Segmented SAUC'!P$106)+'Segmented SAUC'!P$107*#REF!</f>
        <v>#REF!</v>
      </c>
      <c r="Q152" s="289" t="e">
        <f>IF(#REF!&gt;0,'Segmented SAUC'!Q$98)+'Segmented SAUC'!Q$99*#REF!+IF(#REF!&gt;0,'Segmented SAUC'!Q$102)+'Segmented SAUC'!Q$103*#REF!+IF(#REF!&gt;0,'Segmented SAUC'!Q$106)+'Segmented SAUC'!Q$107*#REF!</f>
        <v>#REF!</v>
      </c>
      <c r="R152" s="289" t="e">
        <f>IF(#REF!&gt;0,'Segmented SAUC'!R$98)+'Segmented SAUC'!R$99*#REF!+IF(#REF!&gt;0,'Segmented SAUC'!R$102)+'Segmented SAUC'!R$103*#REF!+IF(#REF!&gt;0,'Segmented SAUC'!R$106)+'Segmented SAUC'!R$107*#REF!</f>
        <v>#REF!</v>
      </c>
    </row>
    <row r="153" spans="1:18">
      <c r="A153" s="261" t="e">
        <f>#REF!</f>
        <v>#REF!</v>
      </c>
      <c r="B153" s="289"/>
      <c r="C153" s="289" t="e">
        <f>IF(#REF!&gt;0,'Segmented SAUC'!C$98)+'Segmented SAUC'!C$99*#REF!+IF(#REF!&gt;0,'Segmented SAUC'!C$102)+'Segmented SAUC'!C$103*#REF!+IF(#REF!&gt;0,'Segmented SAUC'!C$106)+'Segmented SAUC'!C$107*#REF!</f>
        <v>#REF!</v>
      </c>
      <c r="D153" s="289" t="e">
        <f>IF(#REF!&gt;0,'Segmented SAUC'!D$98)+'Segmented SAUC'!D$99*#REF!+IF(#REF!&gt;0,'Segmented SAUC'!D$102)+'Segmented SAUC'!D$103*#REF!+IF(#REF!&gt;0,'Segmented SAUC'!D$106)+'Segmented SAUC'!D$107*#REF!</f>
        <v>#REF!</v>
      </c>
      <c r="E153" s="289" t="e">
        <f>IF(#REF!&gt;0,'Segmented SAUC'!E$98)+'Segmented SAUC'!E$99*#REF!+IF(#REF!&gt;0,'Segmented SAUC'!E$102)+'Segmented SAUC'!E$103*#REF!+IF(#REF!&gt;0,'Segmented SAUC'!E$106)+'Segmented SAUC'!E$107*#REF!</f>
        <v>#REF!</v>
      </c>
      <c r="F153" s="289" t="e">
        <f>IF(#REF!&gt;0,'Segmented SAUC'!F$98)+'Segmented SAUC'!F$99*#REF!+IF(#REF!&gt;0,'Segmented SAUC'!F$102)+'Segmented SAUC'!F$103*#REF!+IF(#REF!&gt;0,'Segmented SAUC'!F$106)+'Segmented SAUC'!F$107*#REF!</f>
        <v>#REF!</v>
      </c>
      <c r="G153" s="289" t="e">
        <f>IF(#REF!&gt;0,'Segmented SAUC'!G$98)+'Segmented SAUC'!G$99*#REF!+IF(#REF!&gt;0,'Segmented SAUC'!G$102)+'Segmented SAUC'!G$103*#REF!+IF(#REF!&gt;0,'Segmented SAUC'!G$106)+'Segmented SAUC'!G$107*#REF!</f>
        <v>#REF!</v>
      </c>
      <c r="H153" s="289" t="e">
        <f>IF(#REF!&gt;0,'Segmented SAUC'!H$98)+'Segmented SAUC'!H$99*#REF!+IF(#REF!&gt;0,'Segmented SAUC'!H$102)+'Segmented SAUC'!H$103*#REF!+IF(#REF!&gt;0,'Segmented SAUC'!H$106)+'Segmented SAUC'!H$107*#REF!</f>
        <v>#REF!</v>
      </c>
      <c r="I153" s="290" t="e">
        <f>IF(#REF!&gt;0,'Segmented SAUC'!I$98)+'Segmented SAUC'!I$99*#REF!+IF(#REF!&gt;0,'Segmented SAUC'!I$102)+'Segmented SAUC'!I$103*#REF!+IF(#REF!&gt;0,'Segmented SAUC'!I$106)+'Segmented SAUC'!I$107*#REF!</f>
        <v>#REF!</v>
      </c>
      <c r="J153" s="289" t="e">
        <f>IF(#REF!&gt;0,'Segmented SAUC'!J$98)+'Segmented SAUC'!J$99*#REF!+IF(#REF!&gt;0,'Segmented SAUC'!J$102)+'Segmented SAUC'!J$103*#REF!+IF(#REF!&gt;0,'Segmented SAUC'!J$106)+'Segmented SAUC'!J$107*#REF!</f>
        <v>#REF!</v>
      </c>
      <c r="K153" s="289" t="e">
        <f>IF(#REF!&gt;0,'Segmented SAUC'!K$98)+'Segmented SAUC'!K$99*#REF!+IF(#REF!&gt;0,'Segmented SAUC'!K$102)+'Segmented SAUC'!K$103*#REF!+IF(#REF!&gt;0,'Segmented SAUC'!K$106)+'Segmented SAUC'!K$107*#REF!</f>
        <v>#REF!</v>
      </c>
      <c r="L153" s="289" t="e">
        <f>IF(#REF!&gt;0,'Segmented SAUC'!L$98)+'Segmented SAUC'!L$99*#REF!+IF(#REF!&gt;0,'Segmented SAUC'!L$102)+'Segmented SAUC'!L$103*#REF!+IF(#REF!&gt;0,'Segmented SAUC'!L$106)+'Segmented SAUC'!L$107*#REF!</f>
        <v>#REF!</v>
      </c>
      <c r="M153" s="289" t="e">
        <f>IF(#REF!&gt;0,'Segmented SAUC'!M$98)+'Segmented SAUC'!M$99*#REF!+IF(#REF!&gt;0,'Segmented SAUC'!M$102)+'Segmented SAUC'!M$103*#REF!+IF(#REF!&gt;0,'Segmented SAUC'!M$106)+'Segmented SAUC'!M$107*#REF!</f>
        <v>#REF!</v>
      </c>
      <c r="N153" s="289" t="e">
        <f>IF(#REF!&gt;0,'Segmented SAUC'!N$98)+'Segmented SAUC'!N$99*#REF!+IF(#REF!&gt;0,'Segmented SAUC'!N$102)+'Segmented SAUC'!N$103*#REF!+IF(#REF!&gt;0,'Segmented SAUC'!N$106)+'Segmented SAUC'!N$107*#REF!</f>
        <v>#REF!</v>
      </c>
      <c r="O153" s="289" t="e">
        <f>IF(#REF!&gt;0,'Segmented SAUC'!O$98)+'Segmented SAUC'!O$99*#REF!+IF(#REF!&gt;0,'Segmented SAUC'!O$102)+'Segmented SAUC'!O$103*#REF!+IF(#REF!&gt;0,'Segmented SAUC'!O$106)+'Segmented SAUC'!O$107*#REF!</f>
        <v>#REF!</v>
      </c>
      <c r="P153" s="289" t="e">
        <f>IF(#REF!&gt;0,'Segmented SAUC'!P$98)+'Segmented SAUC'!P$99*#REF!+IF(#REF!&gt;0,'Segmented SAUC'!P$102)+'Segmented SAUC'!P$103*#REF!+IF(#REF!&gt;0,'Segmented SAUC'!P$106)+'Segmented SAUC'!P$107*#REF!</f>
        <v>#REF!</v>
      </c>
      <c r="Q153" s="289" t="e">
        <f>IF(#REF!&gt;0,'Segmented SAUC'!Q$98)+'Segmented SAUC'!Q$99*#REF!+IF(#REF!&gt;0,'Segmented SAUC'!Q$102)+'Segmented SAUC'!Q$103*#REF!+IF(#REF!&gt;0,'Segmented SAUC'!Q$106)+'Segmented SAUC'!Q$107*#REF!</f>
        <v>#REF!</v>
      </c>
      <c r="R153" s="289" t="e">
        <f>IF(#REF!&gt;0,'Segmented SAUC'!R$98)+'Segmented SAUC'!R$99*#REF!+IF(#REF!&gt;0,'Segmented SAUC'!R$102)+'Segmented SAUC'!R$103*#REF!+IF(#REF!&gt;0,'Segmented SAUC'!R$106)+'Segmented SAUC'!R$107*#REF!</f>
        <v>#REF!</v>
      </c>
    </row>
    <row r="154" spans="1:18">
      <c r="A154" s="261" t="e">
        <f>#REF!</f>
        <v>#REF!</v>
      </c>
      <c r="B154" s="289"/>
      <c r="C154" s="289" t="e">
        <f>IF(#REF!&gt;0,'Segmented SAUC'!C$98)+'Segmented SAUC'!C$99*#REF!+IF(#REF!&gt;0,'Segmented SAUC'!C$102)+'Segmented SAUC'!C$103*#REF!+IF(#REF!&gt;0,'Segmented SAUC'!C$106)+'Segmented SAUC'!C$107*#REF!</f>
        <v>#REF!</v>
      </c>
      <c r="D154" s="289" t="e">
        <f>IF(#REF!&gt;0,'Segmented SAUC'!D$98)+'Segmented SAUC'!D$99*#REF!+IF(#REF!&gt;0,'Segmented SAUC'!D$102)+'Segmented SAUC'!D$103*#REF!+IF(#REF!&gt;0,'Segmented SAUC'!D$106)+'Segmented SAUC'!D$107*#REF!</f>
        <v>#REF!</v>
      </c>
      <c r="E154" s="289" t="e">
        <f>IF(#REF!&gt;0,'Segmented SAUC'!E$98)+'Segmented SAUC'!E$99*#REF!+IF(#REF!&gt;0,'Segmented SAUC'!E$102)+'Segmented SAUC'!E$103*#REF!+IF(#REF!&gt;0,'Segmented SAUC'!E$106)+'Segmented SAUC'!E$107*#REF!</f>
        <v>#REF!</v>
      </c>
      <c r="F154" s="289" t="e">
        <f>IF(#REF!&gt;0,'Segmented SAUC'!F$98)+'Segmented SAUC'!F$99*#REF!+IF(#REF!&gt;0,'Segmented SAUC'!F$102)+'Segmented SAUC'!F$103*#REF!+IF(#REF!&gt;0,'Segmented SAUC'!F$106)+'Segmented SAUC'!F$107*#REF!</f>
        <v>#REF!</v>
      </c>
      <c r="G154" s="289" t="e">
        <f>IF(#REF!&gt;0,'Segmented SAUC'!G$98)+'Segmented SAUC'!G$99*#REF!+IF(#REF!&gt;0,'Segmented SAUC'!G$102)+'Segmented SAUC'!G$103*#REF!+IF(#REF!&gt;0,'Segmented SAUC'!G$106)+'Segmented SAUC'!G$107*#REF!</f>
        <v>#REF!</v>
      </c>
      <c r="H154" s="289" t="e">
        <f>IF(#REF!&gt;0,'Segmented SAUC'!H$98)+'Segmented SAUC'!H$99*#REF!+IF(#REF!&gt;0,'Segmented SAUC'!H$102)+'Segmented SAUC'!H$103*#REF!+IF(#REF!&gt;0,'Segmented SAUC'!H$106)+'Segmented SAUC'!H$107*#REF!</f>
        <v>#REF!</v>
      </c>
      <c r="I154" s="290" t="e">
        <f>IF(#REF!&gt;0,'Segmented SAUC'!I$98)+'Segmented SAUC'!I$99*#REF!+IF(#REF!&gt;0,'Segmented SAUC'!I$102)+'Segmented SAUC'!I$103*#REF!+IF(#REF!&gt;0,'Segmented SAUC'!I$106)+'Segmented SAUC'!I$107*#REF!</f>
        <v>#REF!</v>
      </c>
      <c r="J154" s="289" t="e">
        <f>IF(#REF!&gt;0,'Segmented SAUC'!J$98)+'Segmented SAUC'!J$99*#REF!+IF(#REF!&gt;0,'Segmented SAUC'!J$102)+'Segmented SAUC'!J$103*#REF!+IF(#REF!&gt;0,'Segmented SAUC'!J$106)+'Segmented SAUC'!J$107*#REF!</f>
        <v>#REF!</v>
      </c>
      <c r="K154" s="289" t="e">
        <f>IF(#REF!&gt;0,'Segmented SAUC'!K$98)+'Segmented SAUC'!K$99*#REF!+IF(#REF!&gt;0,'Segmented SAUC'!K$102)+'Segmented SAUC'!K$103*#REF!+IF(#REF!&gt;0,'Segmented SAUC'!K$106)+'Segmented SAUC'!K$107*#REF!</f>
        <v>#REF!</v>
      </c>
      <c r="L154" s="289" t="e">
        <f>IF(#REF!&gt;0,'Segmented SAUC'!L$98)+'Segmented SAUC'!L$99*#REF!+IF(#REF!&gt;0,'Segmented SAUC'!L$102)+'Segmented SAUC'!L$103*#REF!+IF(#REF!&gt;0,'Segmented SAUC'!L$106)+'Segmented SAUC'!L$107*#REF!</f>
        <v>#REF!</v>
      </c>
      <c r="M154" s="289" t="e">
        <f>IF(#REF!&gt;0,'Segmented SAUC'!M$98)+'Segmented SAUC'!M$99*#REF!+IF(#REF!&gt;0,'Segmented SAUC'!M$102)+'Segmented SAUC'!M$103*#REF!+IF(#REF!&gt;0,'Segmented SAUC'!M$106)+'Segmented SAUC'!M$107*#REF!</f>
        <v>#REF!</v>
      </c>
      <c r="N154" s="289" t="e">
        <f>IF(#REF!&gt;0,'Segmented SAUC'!N$98)+'Segmented SAUC'!N$99*#REF!+IF(#REF!&gt;0,'Segmented SAUC'!N$102)+'Segmented SAUC'!N$103*#REF!+IF(#REF!&gt;0,'Segmented SAUC'!N$106)+'Segmented SAUC'!N$107*#REF!</f>
        <v>#REF!</v>
      </c>
      <c r="O154" s="289" t="e">
        <f>IF(#REF!&gt;0,'Segmented SAUC'!O$98)+'Segmented SAUC'!O$99*#REF!+IF(#REF!&gt;0,'Segmented SAUC'!O$102)+'Segmented SAUC'!O$103*#REF!+IF(#REF!&gt;0,'Segmented SAUC'!O$106)+'Segmented SAUC'!O$107*#REF!</f>
        <v>#REF!</v>
      </c>
      <c r="P154" s="289" t="e">
        <f>IF(#REF!&gt;0,'Segmented SAUC'!P$98)+'Segmented SAUC'!P$99*#REF!+IF(#REF!&gt;0,'Segmented SAUC'!P$102)+'Segmented SAUC'!P$103*#REF!+IF(#REF!&gt;0,'Segmented SAUC'!P$106)+'Segmented SAUC'!P$107*#REF!</f>
        <v>#REF!</v>
      </c>
      <c r="Q154" s="289" t="e">
        <f>IF(#REF!&gt;0,'Segmented SAUC'!Q$98)+'Segmented SAUC'!Q$99*#REF!+IF(#REF!&gt;0,'Segmented SAUC'!Q$102)+'Segmented SAUC'!Q$103*#REF!+IF(#REF!&gt;0,'Segmented SAUC'!Q$106)+'Segmented SAUC'!Q$107*#REF!</f>
        <v>#REF!</v>
      </c>
      <c r="R154" s="289" t="e">
        <f>IF(#REF!&gt;0,'Segmented SAUC'!R$98)+'Segmented SAUC'!R$99*#REF!+IF(#REF!&gt;0,'Segmented SAUC'!R$102)+'Segmented SAUC'!R$103*#REF!+IF(#REF!&gt;0,'Segmented SAUC'!R$106)+'Segmented SAUC'!R$107*#REF!</f>
        <v>#REF!</v>
      </c>
    </row>
    <row r="155" spans="1:18">
      <c r="A155" s="261" t="e">
        <f>#REF!</f>
        <v>#REF!</v>
      </c>
      <c r="B155" s="289"/>
      <c r="C155" s="289" t="e">
        <f>IF(#REF!&gt;0,'Segmented SAUC'!C$98)+'Segmented SAUC'!C$99*#REF!+IF(#REF!&gt;0,'Segmented SAUC'!C$102)+'Segmented SAUC'!C$103*#REF!+IF(#REF!&gt;0,'Segmented SAUC'!C$106)+'Segmented SAUC'!C$107*#REF!</f>
        <v>#REF!</v>
      </c>
      <c r="D155" s="289" t="e">
        <f>IF(#REF!&gt;0,'Segmented SAUC'!D$98)+'Segmented SAUC'!D$99*#REF!+IF(#REF!&gt;0,'Segmented SAUC'!D$102)+'Segmented SAUC'!D$103*#REF!+IF(#REF!&gt;0,'Segmented SAUC'!D$106)+'Segmented SAUC'!D$107*#REF!</f>
        <v>#REF!</v>
      </c>
      <c r="E155" s="289" t="e">
        <f>IF(#REF!&gt;0,'Segmented SAUC'!E$98)+'Segmented SAUC'!E$99*#REF!+IF(#REF!&gt;0,'Segmented SAUC'!E$102)+'Segmented SAUC'!E$103*#REF!+IF(#REF!&gt;0,'Segmented SAUC'!E$106)+'Segmented SAUC'!E$107*#REF!</f>
        <v>#REF!</v>
      </c>
      <c r="F155" s="289" t="e">
        <f>IF(#REF!&gt;0,'Segmented SAUC'!F$98)+'Segmented SAUC'!F$99*#REF!+IF(#REF!&gt;0,'Segmented SAUC'!F$102)+'Segmented SAUC'!F$103*#REF!+IF(#REF!&gt;0,'Segmented SAUC'!F$106)+'Segmented SAUC'!F$107*#REF!</f>
        <v>#REF!</v>
      </c>
      <c r="G155" s="289" t="e">
        <f>IF(#REF!&gt;0,'Segmented SAUC'!G$98)+'Segmented SAUC'!G$99*#REF!+IF(#REF!&gt;0,'Segmented SAUC'!G$102)+'Segmented SAUC'!G$103*#REF!+IF(#REF!&gt;0,'Segmented SAUC'!G$106)+'Segmented SAUC'!G$107*#REF!</f>
        <v>#REF!</v>
      </c>
      <c r="H155" s="289" t="e">
        <f>IF(#REF!&gt;0,'Segmented SAUC'!H$98)+'Segmented SAUC'!H$99*#REF!+IF(#REF!&gt;0,'Segmented SAUC'!H$102)+'Segmented SAUC'!H$103*#REF!+IF(#REF!&gt;0,'Segmented SAUC'!H$106)+'Segmented SAUC'!H$107*#REF!</f>
        <v>#REF!</v>
      </c>
      <c r="I155" s="290" t="e">
        <f>IF(#REF!&gt;0,'Segmented SAUC'!I$98)+'Segmented SAUC'!I$99*#REF!+IF(#REF!&gt;0,'Segmented SAUC'!I$102)+'Segmented SAUC'!I$103*#REF!+IF(#REF!&gt;0,'Segmented SAUC'!I$106)+'Segmented SAUC'!I$107*#REF!</f>
        <v>#REF!</v>
      </c>
      <c r="J155" s="289" t="e">
        <f>IF(#REF!&gt;0,'Segmented SAUC'!J$98)+'Segmented SAUC'!J$99*#REF!+IF(#REF!&gt;0,'Segmented SAUC'!J$102)+'Segmented SAUC'!J$103*#REF!+IF(#REF!&gt;0,'Segmented SAUC'!J$106)+'Segmented SAUC'!J$107*#REF!</f>
        <v>#REF!</v>
      </c>
      <c r="K155" s="289" t="e">
        <f>IF(#REF!&gt;0,'Segmented SAUC'!K$98)+'Segmented SAUC'!K$99*#REF!+IF(#REF!&gt;0,'Segmented SAUC'!K$102)+'Segmented SAUC'!K$103*#REF!+IF(#REF!&gt;0,'Segmented SAUC'!K$106)+'Segmented SAUC'!K$107*#REF!</f>
        <v>#REF!</v>
      </c>
      <c r="L155" s="289" t="e">
        <f>IF(#REF!&gt;0,'Segmented SAUC'!L$98)+'Segmented SAUC'!L$99*#REF!+IF(#REF!&gt;0,'Segmented SAUC'!L$102)+'Segmented SAUC'!L$103*#REF!+IF(#REF!&gt;0,'Segmented SAUC'!L$106)+'Segmented SAUC'!L$107*#REF!</f>
        <v>#REF!</v>
      </c>
      <c r="M155" s="289" t="e">
        <f>IF(#REF!&gt;0,'Segmented SAUC'!M$98)+'Segmented SAUC'!M$99*#REF!+IF(#REF!&gt;0,'Segmented SAUC'!M$102)+'Segmented SAUC'!M$103*#REF!+IF(#REF!&gt;0,'Segmented SAUC'!M$106)+'Segmented SAUC'!M$107*#REF!</f>
        <v>#REF!</v>
      </c>
      <c r="N155" s="289" t="e">
        <f>IF(#REF!&gt;0,'Segmented SAUC'!N$98)+'Segmented SAUC'!N$99*#REF!+IF(#REF!&gt;0,'Segmented SAUC'!N$102)+'Segmented SAUC'!N$103*#REF!+IF(#REF!&gt;0,'Segmented SAUC'!N$106)+'Segmented SAUC'!N$107*#REF!</f>
        <v>#REF!</v>
      </c>
      <c r="O155" s="289" t="e">
        <f>IF(#REF!&gt;0,'Segmented SAUC'!O$98)+'Segmented SAUC'!O$99*#REF!+IF(#REF!&gt;0,'Segmented SAUC'!O$102)+'Segmented SAUC'!O$103*#REF!+IF(#REF!&gt;0,'Segmented SAUC'!O$106)+'Segmented SAUC'!O$107*#REF!</f>
        <v>#REF!</v>
      </c>
      <c r="P155" s="289" t="e">
        <f>IF(#REF!&gt;0,'Segmented SAUC'!P$98)+'Segmented SAUC'!P$99*#REF!+IF(#REF!&gt;0,'Segmented SAUC'!P$102)+'Segmented SAUC'!P$103*#REF!+IF(#REF!&gt;0,'Segmented SAUC'!P$106)+'Segmented SAUC'!P$107*#REF!</f>
        <v>#REF!</v>
      </c>
      <c r="Q155" s="289" t="e">
        <f>IF(#REF!&gt;0,'Segmented SAUC'!Q$98)+'Segmented SAUC'!Q$99*#REF!+IF(#REF!&gt;0,'Segmented SAUC'!Q$102)+'Segmented SAUC'!Q$103*#REF!+IF(#REF!&gt;0,'Segmented SAUC'!Q$106)+'Segmented SAUC'!Q$107*#REF!</f>
        <v>#REF!</v>
      </c>
      <c r="R155" s="289" t="e">
        <f>IF(#REF!&gt;0,'Segmented SAUC'!R$98)+'Segmented SAUC'!R$99*#REF!+IF(#REF!&gt;0,'Segmented SAUC'!R$102)+'Segmented SAUC'!R$103*#REF!+IF(#REF!&gt;0,'Segmented SAUC'!R$106)+'Segmented SAUC'!R$107*#REF!</f>
        <v>#REF!</v>
      </c>
    </row>
    <row r="156" spans="1:18">
      <c r="A156" s="261" t="e">
        <f>#REF!</f>
        <v>#REF!</v>
      </c>
      <c r="B156" s="289"/>
      <c r="C156" s="289" t="e">
        <f>IF(#REF!&gt;0,'Segmented SAUC'!C$98)+'Segmented SAUC'!C$99*#REF!+IF(#REF!&gt;0,'Segmented SAUC'!C$102)+'Segmented SAUC'!C$103*#REF!+IF(#REF!&gt;0,'Segmented SAUC'!C$106)+'Segmented SAUC'!C$107*#REF!</f>
        <v>#REF!</v>
      </c>
      <c r="D156" s="289" t="e">
        <f>IF(#REF!&gt;0,'Segmented SAUC'!D$98)+'Segmented SAUC'!D$99*#REF!+IF(#REF!&gt;0,'Segmented SAUC'!D$102)+'Segmented SAUC'!D$103*#REF!+IF(#REF!&gt;0,'Segmented SAUC'!D$106)+'Segmented SAUC'!D$107*#REF!</f>
        <v>#REF!</v>
      </c>
      <c r="E156" s="289" t="e">
        <f>IF(#REF!&gt;0,'Segmented SAUC'!E$98)+'Segmented SAUC'!E$99*#REF!+IF(#REF!&gt;0,'Segmented SAUC'!E$102)+'Segmented SAUC'!E$103*#REF!+IF(#REF!&gt;0,'Segmented SAUC'!E$106)+'Segmented SAUC'!E$107*#REF!</f>
        <v>#REF!</v>
      </c>
      <c r="F156" s="289" t="e">
        <f>IF(#REF!&gt;0,'Segmented SAUC'!F$98)+'Segmented SAUC'!F$99*#REF!+IF(#REF!&gt;0,'Segmented SAUC'!F$102)+'Segmented SAUC'!F$103*#REF!+IF(#REF!&gt;0,'Segmented SAUC'!F$106)+'Segmented SAUC'!F$107*#REF!</f>
        <v>#REF!</v>
      </c>
      <c r="G156" s="289" t="e">
        <f>IF(#REF!&gt;0,'Segmented SAUC'!G$98)+'Segmented SAUC'!G$99*#REF!+IF(#REF!&gt;0,'Segmented SAUC'!G$102)+'Segmented SAUC'!G$103*#REF!+IF(#REF!&gt;0,'Segmented SAUC'!G$106)+'Segmented SAUC'!G$107*#REF!</f>
        <v>#REF!</v>
      </c>
      <c r="H156" s="289" t="e">
        <f>IF(#REF!&gt;0,'Segmented SAUC'!H$98)+'Segmented SAUC'!H$99*#REF!+IF(#REF!&gt;0,'Segmented SAUC'!H$102)+'Segmented SAUC'!H$103*#REF!+IF(#REF!&gt;0,'Segmented SAUC'!H$106)+'Segmented SAUC'!H$107*#REF!</f>
        <v>#REF!</v>
      </c>
      <c r="I156" s="290" t="e">
        <f>IF(#REF!&gt;0,'Segmented SAUC'!I$98)+'Segmented SAUC'!I$99*#REF!+IF(#REF!&gt;0,'Segmented SAUC'!I$102)+'Segmented SAUC'!I$103*#REF!+IF(#REF!&gt;0,'Segmented SAUC'!I$106)+'Segmented SAUC'!I$107*#REF!</f>
        <v>#REF!</v>
      </c>
      <c r="J156" s="289" t="e">
        <f>IF(#REF!&gt;0,'Segmented SAUC'!J$98)+'Segmented SAUC'!J$99*#REF!+IF(#REF!&gt;0,'Segmented SAUC'!J$102)+'Segmented SAUC'!J$103*#REF!+IF(#REF!&gt;0,'Segmented SAUC'!J$106)+'Segmented SAUC'!J$107*#REF!</f>
        <v>#REF!</v>
      </c>
      <c r="K156" s="289" t="e">
        <f>IF(#REF!&gt;0,'Segmented SAUC'!K$98)+'Segmented SAUC'!K$99*#REF!+IF(#REF!&gt;0,'Segmented SAUC'!K$102)+'Segmented SAUC'!K$103*#REF!+IF(#REF!&gt;0,'Segmented SAUC'!K$106)+'Segmented SAUC'!K$107*#REF!</f>
        <v>#REF!</v>
      </c>
      <c r="L156" s="289" t="e">
        <f>IF(#REF!&gt;0,'Segmented SAUC'!L$98)+'Segmented SAUC'!L$99*#REF!+IF(#REF!&gt;0,'Segmented SAUC'!L$102)+'Segmented SAUC'!L$103*#REF!+IF(#REF!&gt;0,'Segmented SAUC'!L$106)+'Segmented SAUC'!L$107*#REF!</f>
        <v>#REF!</v>
      </c>
      <c r="M156" s="289" t="e">
        <f>IF(#REF!&gt;0,'Segmented SAUC'!M$98)+'Segmented SAUC'!M$99*#REF!+IF(#REF!&gt;0,'Segmented SAUC'!M$102)+'Segmented SAUC'!M$103*#REF!+IF(#REF!&gt;0,'Segmented SAUC'!M$106)+'Segmented SAUC'!M$107*#REF!</f>
        <v>#REF!</v>
      </c>
      <c r="N156" s="289" t="e">
        <f>IF(#REF!&gt;0,'Segmented SAUC'!N$98)+'Segmented SAUC'!N$99*#REF!+IF(#REF!&gt;0,'Segmented SAUC'!N$102)+'Segmented SAUC'!N$103*#REF!+IF(#REF!&gt;0,'Segmented SAUC'!N$106)+'Segmented SAUC'!N$107*#REF!</f>
        <v>#REF!</v>
      </c>
      <c r="O156" s="289" t="e">
        <f>IF(#REF!&gt;0,'Segmented SAUC'!O$98)+'Segmented SAUC'!O$99*#REF!+IF(#REF!&gt;0,'Segmented SAUC'!O$102)+'Segmented SAUC'!O$103*#REF!+IF(#REF!&gt;0,'Segmented SAUC'!O$106)+'Segmented SAUC'!O$107*#REF!</f>
        <v>#REF!</v>
      </c>
      <c r="P156" s="289" t="e">
        <f>IF(#REF!&gt;0,'Segmented SAUC'!P$98)+'Segmented SAUC'!P$99*#REF!+IF(#REF!&gt;0,'Segmented SAUC'!P$102)+'Segmented SAUC'!P$103*#REF!+IF(#REF!&gt;0,'Segmented SAUC'!P$106)+'Segmented SAUC'!P$107*#REF!</f>
        <v>#REF!</v>
      </c>
      <c r="Q156" s="289" t="e">
        <f>IF(#REF!&gt;0,'Segmented SAUC'!Q$98)+'Segmented SAUC'!Q$99*#REF!+IF(#REF!&gt;0,'Segmented SAUC'!Q$102)+'Segmented SAUC'!Q$103*#REF!+IF(#REF!&gt;0,'Segmented SAUC'!Q$106)+'Segmented SAUC'!Q$107*#REF!</f>
        <v>#REF!</v>
      </c>
      <c r="R156" s="289" t="e">
        <f>IF(#REF!&gt;0,'Segmented SAUC'!R$98)+'Segmented SAUC'!R$99*#REF!+IF(#REF!&gt;0,'Segmented SAUC'!R$102)+'Segmented SAUC'!R$103*#REF!+IF(#REF!&gt;0,'Segmented SAUC'!R$106)+'Segmented SAUC'!R$107*#REF!</f>
        <v>#REF!</v>
      </c>
    </row>
    <row r="157" spans="1:18">
      <c r="A157" s="261" t="e">
        <f>#REF!</f>
        <v>#REF!</v>
      </c>
      <c r="B157" s="289"/>
      <c r="C157" s="289" t="e">
        <f>IF(#REF!&gt;0,'Segmented SAUC'!C$98)+'Segmented SAUC'!C$99*#REF!+IF(#REF!&gt;0,'Segmented SAUC'!C$102)+'Segmented SAUC'!C$103*#REF!+IF(#REF!&gt;0,'Segmented SAUC'!C$106)+'Segmented SAUC'!C$107*#REF!</f>
        <v>#REF!</v>
      </c>
      <c r="D157" s="289" t="e">
        <f>IF(#REF!&gt;0,'Segmented SAUC'!D$98)+'Segmented SAUC'!D$99*#REF!+IF(#REF!&gt;0,'Segmented SAUC'!D$102)+'Segmented SAUC'!D$103*#REF!+IF(#REF!&gt;0,'Segmented SAUC'!D$106)+'Segmented SAUC'!D$107*#REF!</f>
        <v>#REF!</v>
      </c>
      <c r="E157" s="289" t="e">
        <f>IF(#REF!&gt;0,'Segmented SAUC'!E$98)+'Segmented SAUC'!E$99*#REF!+IF(#REF!&gt;0,'Segmented SAUC'!E$102)+'Segmented SAUC'!E$103*#REF!+IF(#REF!&gt;0,'Segmented SAUC'!E$106)+'Segmented SAUC'!E$107*#REF!</f>
        <v>#REF!</v>
      </c>
      <c r="F157" s="289" t="e">
        <f>IF(#REF!&gt;0,'Segmented SAUC'!F$98)+'Segmented SAUC'!F$99*#REF!+IF(#REF!&gt;0,'Segmented SAUC'!F$102)+'Segmented SAUC'!F$103*#REF!+IF(#REF!&gt;0,'Segmented SAUC'!F$106)+'Segmented SAUC'!F$107*#REF!</f>
        <v>#REF!</v>
      </c>
      <c r="G157" s="289" t="e">
        <f>IF(#REF!&gt;0,'Segmented SAUC'!G$98)+'Segmented SAUC'!G$99*#REF!+IF(#REF!&gt;0,'Segmented SAUC'!G$102)+'Segmented SAUC'!G$103*#REF!+IF(#REF!&gt;0,'Segmented SAUC'!G$106)+'Segmented SAUC'!G$107*#REF!</f>
        <v>#REF!</v>
      </c>
      <c r="H157" s="289" t="e">
        <f>IF(#REF!&gt;0,'Segmented SAUC'!H$98)+'Segmented SAUC'!H$99*#REF!+IF(#REF!&gt;0,'Segmented SAUC'!H$102)+'Segmented SAUC'!H$103*#REF!+IF(#REF!&gt;0,'Segmented SAUC'!H$106)+'Segmented SAUC'!H$107*#REF!</f>
        <v>#REF!</v>
      </c>
      <c r="I157" s="290" t="e">
        <f>IF(#REF!&gt;0,'Segmented SAUC'!I$98)+'Segmented SAUC'!I$99*#REF!+IF(#REF!&gt;0,'Segmented SAUC'!I$102)+'Segmented SAUC'!I$103*#REF!+IF(#REF!&gt;0,'Segmented SAUC'!I$106)+'Segmented SAUC'!I$107*#REF!</f>
        <v>#REF!</v>
      </c>
      <c r="J157" s="289" t="e">
        <f>IF(#REF!&gt;0,'Segmented SAUC'!J$98)+'Segmented SAUC'!J$99*#REF!+IF(#REF!&gt;0,'Segmented SAUC'!J$102)+'Segmented SAUC'!J$103*#REF!+IF(#REF!&gt;0,'Segmented SAUC'!J$106)+'Segmented SAUC'!J$107*#REF!</f>
        <v>#REF!</v>
      </c>
      <c r="K157" s="289" t="e">
        <f>IF(#REF!&gt;0,'Segmented SAUC'!K$98)+'Segmented SAUC'!K$99*#REF!+IF(#REF!&gt;0,'Segmented SAUC'!K$102)+'Segmented SAUC'!K$103*#REF!+IF(#REF!&gt;0,'Segmented SAUC'!K$106)+'Segmented SAUC'!K$107*#REF!</f>
        <v>#REF!</v>
      </c>
      <c r="L157" s="289" t="e">
        <f>IF(#REF!&gt;0,'Segmented SAUC'!L$98)+'Segmented SAUC'!L$99*#REF!+IF(#REF!&gt;0,'Segmented SAUC'!L$102)+'Segmented SAUC'!L$103*#REF!+IF(#REF!&gt;0,'Segmented SAUC'!L$106)+'Segmented SAUC'!L$107*#REF!</f>
        <v>#REF!</v>
      </c>
      <c r="M157" s="289" t="e">
        <f>IF(#REF!&gt;0,'Segmented SAUC'!M$98)+'Segmented SAUC'!M$99*#REF!+IF(#REF!&gt;0,'Segmented SAUC'!M$102)+'Segmented SAUC'!M$103*#REF!+IF(#REF!&gt;0,'Segmented SAUC'!M$106)+'Segmented SAUC'!M$107*#REF!</f>
        <v>#REF!</v>
      </c>
      <c r="N157" s="289" t="e">
        <f>IF(#REF!&gt;0,'Segmented SAUC'!N$98)+'Segmented SAUC'!N$99*#REF!+IF(#REF!&gt;0,'Segmented SAUC'!N$102)+'Segmented SAUC'!N$103*#REF!+IF(#REF!&gt;0,'Segmented SAUC'!N$106)+'Segmented SAUC'!N$107*#REF!</f>
        <v>#REF!</v>
      </c>
      <c r="O157" s="289" t="e">
        <f>IF(#REF!&gt;0,'Segmented SAUC'!O$98)+'Segmented SAUC'!O$99*#REF!+IF(#REF!&gt;0,'Segmented SAUC'!O$102)+'Segmented SAUC'!O$103*#REF!+IF(#REF!&gt;0,'Segmented SAUC'!O$106)+'Segmented SAUC'!O$107*#REF!</f>
        <v>#REF!</v>
      </c>
      <c r="P157" s="289" t="e">
        <f>IF(#REF!&gt;0,'Segmented SAUC'!P$98)+'Segmented SAUC'!P$99*#REF!+IF(#REF!&gt;0,'Segmented SAUC'!P$102)+'Segmented SAUC'!P$103*#REF!+IF(#REF!&gt;0,'Segmented SAUC'!P$106)+'Segmented SAUC'!P$107*#REF!</f>
        <v>#REF!</v>
      </c>
      <c r="Q157" s="289" t="e">
        <f>IF(#REF!&gt;0,'Segmented SAUC'!Q$98)+'Segmented SAUC'!Q$99*#REF!+IF(#REF!&gt;0,'Segmented SAUC'!Q$102)+'Segmented SAUC'!Q$103*#REF!+IF(#REF!&gt;0,'Segmented SAUC'!Q$106)+'Segmented SAUC'!Q$107*#REF!</f>
        <v>#REF!</v>
      </c>
      <c r="R157" s="289" t="e">
        <f>IF(#REF!&gt;0,'Segmented SAUC'!R$98)+'Segmented SAUC'!R$99*#REF!+IF(#REF!&gt;0,'Segmented SAUC'!R$102)+'Segmented SAUC'!R$103*#REF!+IF(#REF!&gt;0,'Segmented SAUC'!R$106)+'Segmented SAUC'!R$107*#REF!</f>
        <v>#REF!</v>
      </c>
    </row>
    <row r="158" spans="1:18">
      <c r="A158" s="261" t="e">
        <f>#REF!</f>
        <v>#REF!</v>
      </c>
      <c r="B158" s="289"/>
      <c r="C158" s="289" t="e">
        <f>IF(#REF!&gt;0,'Segmented SAUC'!C$98)+'Segmented SAUC'!C$99*#REF!+IF(#REF!&gt;0,'Segmented SAUC'!C$102)+'Segmented SAUC'!C$103*#REF!+IF(#REF!&gt;0,'Segmented SAUC'!C$106)+'Segmented SAUC'!C$107*#REF!</f>
        <v>#REF!</v>
      </c>
      <c r="D158" s="289" t="e">
        <f>IF(#REF!&gt;0,'Segmented SAUC'!D$98)+'Segmented SAUC'!D$99*#REF!+IF(#REF!&gt;0,'Segmented SAUC'!D$102)+'Segmented SAUC'!D$103*#REF!+IF(#REF!&gt;0,'Segmented SAUC'!D$106)+'Segmented SAUC'!D$107*#REF!</f>
        <v>#REF!</v>
      </c>
      <c r="E158" s="289" t="e">
        <f>IF(#REF!&gt;0,'Segmented SAUC'!E$98)+'Segmented SAUC'!E$99*#REF!+IF(#REF!&gt;0,'Segmented SAUC'!E$102)+'Segmented SAUC'!E$103*#REF!+IF(#REF!&gt;0,'Segmented SAUC'!E$106)+'Segmented SAUC'!E$107*#REF!</f>
        <v>#REF!</v>
      </c>
      <c r="F158" s="289" t="e">
        <f>IF(#REF!&gt;0,'Segmented SAUC'!F$98)+'Segmented SAUC'!F$99*#REF!+IF(#REF!&gt;0,'Segmented SAUC'!F$102)+'Segmented SAUC'!F$103*#REF!+IF(#REF!&gt;0,'Segmented SAUC'!F$106)+'Segmented SAUC'!F$107*#REF!</f>
        <v>#REF!</v>
      </c>
      <c r="G158" s="289" t="e">
        <f>IF(#REF!&gt;0,'Segmented SAUC'!G$98)+'Segmented SAUC'!G$99*#REF!+IF(#REF!&gt;0,'Segmented SAUC'!G$102)+'Segmented SAUC'!G$103*#REF!+IF(#REF!&gt;0,'Segmented SAUC'!G$106)+'Segmented SAUC'!G$107*#REF!</f>
        <v>#REF!</v>
      </c>
      <c r="H158" s="289" t="e">
        <f>IF(#REF!&gt;0,'Segmented SAUC'!H$98)+'Segmented SAUC'!H$99*#REF!+IF(#REF!&gt;0,'Segmented SAUC'!H$102)+'Segmented SAUC'!H$103*#REF!+IF(#REF!&gt;0,'Segmented SAUC'!H$106)+'Segmented SAUC'!H$107*#REF!</f>
        <v>#REF!</v>
      </c>
      <c r="I158" s="290" t="e">
        <f>IF(#REF!&gt;0,'Segmented SAUC'!I$98)+'Segmented SAUC'!I$99*#REF!+IF(#REF!&gt;0,'Segmented SAUC'!I$102)+'Segmented SAUC'!I$103*#REF!+IF(#REF!&gt;0,'Segmented SAUC'!I$106)+'Segmented SAUC'!I$107*#REF!</f>
        <v>#REF!</v>
      </c>
      <c r="J158" s="289" t="e">
        <f>IF(#REF!&gt;0,'Segmented SAUC'!J$98)+'Segmented SAUC'!J$99*#REF!+IF(#REF!&gt;0,'Segmented SAUC'!J$102)+'Segmented SAUC'!J$103*#REF!+IF(#REF!&gt;0,'Segmented SAUC'!J$106)+'Segmented SAUC'!J$107*#REF!</f>
        <v>#REF!</v>
      </c>
      <c r="K158" s="289" t="e">
        <f>IF(#REF!&gt;0,'Segmented SAUC'!K$98)+'Segmented SAUC'!K$99*#REF!+IF(#REF!&gt;0,'Segmented SAUC'!K$102)+'Segmented SAUC'!K$103*#REF!+IF(#REF!&gt;0,'Segmented SAUC'!K$106)+'Segmented SAUC'!K$107*#REF!</f>
        <v>#REF!</v>
      </c>
      <c r="L158" s="289" t="e">
        <f>IF(#REF!&gt;0,'Segmented SAUC'!L$98)+'Segmented SAUC'!L$99*#REF!+IF(#REF!&gt;0,'Segmented SAUC'!L$102)+'Segmented SAUC'!L$103*#REF!+IF(#REF!&gt;0,'Segmented SAUC'!L$106)+'Segmented SAUC'!L$107*#REF!</f>
        <v>#REF!</v>
      </c>
      <c r="M158" s="289" t="e">
        <f>IF(#REF!&gt;0,'Segmented SAUC'!M$98)+'Segmented SAUC'!M$99*#REF!+IF(#REF!&gt;0,'Segmented SAUC'!M$102)+'Segmented SAUC'!M$103*#REF!+IF(#REF!&gt;0,'Segmented SAUC'!M$106)+'Segmented SAUC'!M$107*#REF!</f>
        <v>#REF!</v>
      </c>
      <c r="N158" s="289" t="e">
        <f>IF(#REF!&gt;0,'Segmented SAUC'!N$98)+'Segmented SAUC'!N$99*#REF!+IF(#REF!&gt;0,'Segmented SAUC'!N$102)+'Segmented SAUC'!N$103*#REF!+IF(#REF!&gt;0,'Segmented SAUC'!N$106)+'Segmented SAUC'!N$107*#REF!</f>
        <v>#REF!</v>
      </c>
      <c r="O158" s="289" t="e">
        <f>IF(#REF!&gt;0,'Segmented SAUC'!O$98)+'Segmented SAUC'!O$99*#REF!+IF(#REF!&gt;0,'Segmented SAUC'!O$102)+'Segmented SAUC'!O$103*#REF!+IF(#REF!&gt;0,'Segmented SAUC'!O$106)+'Segmented SAUC'!O$107*#REF!</f>
        <v>#REF!</v>
      </c>
      <c r="P158" s="289" t="e">
        <f>IF(#REF!&gt;0,'Segmented SAUC'!P$98)+'Segmented SAUC'!P$99*#REF!+IF(#REF!&gt;0,'Segmented SAUC'!P$102)+'Segmented SAUC'!P$103*#REF!+IF(#REF!&gt;0,'Segmented SAUC'!P$106)+'Segmented SAUC'!P$107*#REF!</f>
        <v>#REF!</v>
      </c>
      <c r="Q158" s="289" t="e">
        <f>IF(#REF!&gt;0,'Segmented SAUC'!Q$98)+'Segmented SAUC'!Q$99*#REF!+IF(#REF!&gt;0,'Segmented SAUC'!Q$102)+'Segmented SAUC'!Q$103*#REF!+IF(#REF!&gt;0,'Segmented SAUC'!Q$106)+'Segmented SAUC'!Q$107*#REF!</f>
        <v>#REF!</v>
      </c>
      <c r="R158" s="289" t="e">
        <f>IF(#REF!&gt;0,'Segmented SAUC'!R$98)+'Segmented SAUC'!R$99*#REF!+IF(#REF!&gt;0,'Segmented SAUC'!R$102)+'Segmented SAUC'!R$103*#REF!+IF(#REF!&gt;0,'Segmented SAUC'!R$106)+'Segmented SAUC'!R$107*#REF!</f>
        <v>#REF!</v>
      </c>
    </row>
    <row r="159" spans="1:18">
      <c r="A159" s="261" t="e">
        <f>#REF!</f>
        <v>#REF!</v>
      </c>
      <c r="B159" s="289"/>
      <c r="C159" s="289" t="e">
        <f>IF(#REF!&gt;0,'Segmented SAUC'!C$98)+'Segmented SAUC'!C$99*#REF!+IF(#REF!&gt;0,'Segmented SAUC'!C$102)+'Segmented SAUC'!C$103*#REF!+IF(#REF!&gt;0,'Segmented SAUC'!C$106)+'Segmented SAUC'!C$107*#REF!</f>
        <v>#REF!</v>
      </c>
      <c r="D159" s="289" t="e">
        <f>IF(#REF!&gt;0,'Segmented SAUC'!D$98)+'Segmented SAUC'!D$99*#REF!+IF(#REF!&gt;0,'Segmented SAUC'!D$102)+'Segmented SAUC'!D$103*#REF!+IF(#REF!&gt;0,'Segmented SAUC'!D$106)+'Segmented SAUC'!D$107*#REF!</f>
        <v>#REF!</v>
      </c>
      <c r="E159" s="289" t="e">
        <f>IF(#REF!&gt;0,'Segmented SAUC'!E$98)+'Segmented SAUC'!E$99*#REF!+IF(#REF!&gt;0,'Segmented SAUC'!E$102)+'Segmented SAUC'!E$103*#REF!+IF(#REF!&gt;0,'Segmented SAUC'!E$106)+'Segmented SAUC'!E$107*#REF!</f>
        <v>#REF!</v>
      </c>
      <c r="F159" s="289" t="e">
        <f>IF(#REF!&gt;0,'Segmented SAUC'!F$98)+'Segmented SAUC'!F$99*#REF!+IF(#REF!&gt;0,'Segmented SAUC'!F$102)+'Segmented SAUC'!F$103*#REF!+IF(#REF!&gt;0,'Segmented SAUC'!F$106)+'Segmented SAUC'!F$107*#REF!</f>
        <v>#REF!</v>
      </c>
      <c r="G159" s="289" t="e">
        <f>IF(#REF!&gt;0,'Segmented SAUC'!G$98)+'Segmented SAUC'!G$99*#REF!+IF(#REF!&gt;0,'Segmented SAUC'!G$102)+'Segmented SAUC'!G$103*#REF!+IF(#REF!&gt;0,'Segmented SAUC'!G$106)+'Segmented SAUC'!G$107*#REF!</f>
        <v>#REF!</v>
      </c>
      <c r="H159" s="289" t="e">
        <f>IF(#REF!&gt;0,'Segmented SAUC'!H$98)+'Segmented SAUC'!H$99*#REF!+IF(#REF!&gt;0,'Segmented SAUC'!H$102)+'Segmented SAUC'!H$103*#REF!+IF(#REF!&gt;0,'Segmented SAUC'!H$106)+'Segmented SAUC'!H$107*#REF!</f>
        <v>#REF!</v>
      </c>
      <c r="I159" s="290" t="e">
        <f>IF(#REF!&gt;0,'Segmented SAUC'!I$98)+'Segmented SAUC'!I$99*#REF!+IF(#REF!&gt;0,'Segmented SAUC'!I$102)+'Segmented SAUC'!I$103*#REF!+IF(#REF!&gt;0,'Segmented SAUC'!I$106)+'Segmented SAUC'!I$107*#REF!</f>
        <v>#REF!</v>
      </c>
      <c r="J159" s="289" t="e">
        <f>IF(#REF!&gt;0,'Segmented SAUC'!J$98)+'Segmented SAUC'!J$99*#REF!+IF(#REF!&gt;0,'Segmented SAUC'!J$102)+'Segmented SAUC'!J$103*#REF!+IF(#REF!&gt;0,'Segmented SAUC'!J$106)+'Segmented SAUC'!J$107*#REF!</f>
        <v>#REF!</v>
      </c>
      <c r="K159" s="289" t="e">
        <f>IF(#REF!&gt;0,'Segmented SAUC'!K$98)+'Segmented SAUC'!K$99*#REF!+IF(#REF!&gt;0,'Segmented SAUC'!K$102)+'Segmented SAUC'!K$103*#REF!+IF(#REF!&gt;0,'Segmented SAUC'!K$106)+'Segmented SAUC'!K$107*#REF!</f>
        <v>#REF!</v>
      </c>
      <c r="L159" s="289" t="e">
        <f>IF(#REF!&gt;0,'Segmented SAUC'!L$98)+'Segmented SAUC'!L$99*#REF!+IF(#REF!&gt;0,'Segmented SAUC'!L$102)+'Segmented SAUC'!L$103*#REF!+IF(#REF!&gt;0,'Segmented SAUC'!L$106)+'Segmented SAUC'!L$107*#REF!</f>
        <v>#REF!</v>
      </c>
      <c r="M159" s="289" t="e">
        <f>IF(#REF!&gt;0,'Segmented SAUC'!M$98)+'Segmented SAUC'!M$99*#REF!+IF(#REF!&gt;0,'Segmented SAUC'!M$102)+'Segmented SAUC'!M$103*#REF!+IF(#REF!&gt;0,'Segmented SAUC'!M$106)+'Segmented SAUC'!M$107*#REF!</f>
        <v>#REF!</v>
      </c>
      <c r="N159" s="289" t="e">
        <f>IF(#REF!&gt;0,'Segmented SAUC'!N$98)+'Segmented SAUC'!N$99*#REF!+IF(#REF!&gt;0,'Segmented SAUC'!N$102)+'Segmented SAUC'!N$103*#REF!+IF(#REF!&gt;0,'Segmented SAUC'!N$106)+'Segmented SAUC'!N$107*#REF!</f>
        <v>#REF!</v>
      </c>
      <c r="O159" s="289" t="e">
        <f>IF(#REF!&gt;0,'Segmented SAUC'!O$98)+'Segmented SAUC'!O$99*#REF!+IF(#REF!&gt;0,'Segmented SAUC'!O$102)+'Segmented SAUC'!O$103*#REF!+IF(#REF!&gt;0,'Segmented SAUC'!O$106)+'Segmented SAUC'!O$107*#REF!</f>
        <v>#REF!</v>
      </c>
      <c r="P159" s="289" t="e">
        <f>IF(#REF!&gt;0,'Segmented SAUC'!P$98)+'Segmented SAUC'!P$99*#REF!+IF(#REF!&gt;0,'Segmented SAUC'!P$102)+'Segmented SAUC'!P$103*#REF!+IF(#REF!&gt;0,'Segmented SAUC'!P$106)+'Segmented SAUC'!P$107*#REF!</f>
        <v>#REF!</v>
      </c>
      <c r="Q159" s="289" t="e">
        <f>IF(#REF!&gt;0,'Segmented SAUC'!Q$98)+'Segmented SAUC'!Q$99*#REF!+IF(#REF!&gt;0,'Segmented SAUC'!Q$102)+'Segmented SAUC'!Q$103*#REF!+IF(#REF!&gt;0,'Segmented SAUC'!Q$106)+'Segmented SAUC'!Q$107*#REF!</f>
        <v>#REF!</v>
      </c>
      <c r="R159" s="289" t="e">
        <f>IF(#REF!&gt;0,'Segmented SAUC'!R$98)+'Segmented SAUC'!R$99*#REF!+IF(#REF!&gt;0,'Segmented SAUC'!R$102)+'Segmented SAUC'!R$103*#REF!+IF(#REF!&gt;0,'Segmented SAUC'!R$106)+'Segmented SAUC'!R$107*#REF!</f>
        <v>#REF!</v>
      </c>
    </row>
    <row r="160" spans="1:18">
      <c r="A160" s="261" t="e">
        <f>#REF!</f>
        <v>#REF!</v>
      </c>
      <c r="B160" s="289"/>
      <c r="C160" s="289" t="e">
        <f>IF(#REF!&gt;0,'Segmented SAUC'!C$98)+'Segmented SAUC'!C$99*#REF!+IF(#REF!&gt;0,'Segmented SAUC'!C$102)+'Segmented SAUC'!C$103*#REF!+IF(#REF!&gt;0,'Segmented SAUC'!C$106)+'Segmented SAUC'!C$107*#REF!</f>
        <v>#REF!</v>
      </c>
      <c r="D160" s="289" t="e">
        <f>IF(#REF!&gt;0,'Segmented SAUC'!D$98)+'Segmented SAUC'!D$99*#REF!+IF(#REF!&gt;0,'Segmented SAUC'!D$102)+'Segmented SAUC'!D$103*#REF!+IF(#REF!&gt;0,'Segmented SAUC'!D$106)+'Segmented SAUC'!D$107*#REF!</f>
        <v>#REF!</v>
      </c>
      <c r="E160" s="289" t="e">
        <f>IF(#REF!&gt;0,'Segmented SAUC'!E$98)+'Segmented SAUC'!E$99*#REF!+IF(#REF!&gt;0,'Segmented SAUC'!E$102)+'Segmented SAUC'!E$103*#REF!+IF(#REF!&gt;0,'Segmented SAUC'!E$106)+'Segmented SAUC'!E$107*#REF!</f>
        <v>#REF!</v>
      </c>
      <c r="F160" s="289" t="e">
        <f>IF(#REF!&gt;0,'Segmented SAUC'!F$98)+'Segmented SAUC'!F$99*#REF!+IF(#REF!&gt;0,'Segmented SAUC'!F$102)+'Segmented SAUC'!F$103*#REF!+IF(#REF!&gt;0,'Segmented SAUC'!F$106)+'Segmented SAUC'!F$107*#REF!</f>
        <v>#REF!</v>
      </c>
      <c r="G160" s="289" t="e">
        <f>IF(#REF!&gt;0,'Segmented SAUC'!G$98)+'Segmented SAUC'!G$99*#REF!+IF(#REF!&gt;0,'Segmented SAUC'!G$102)+'Segmented SAUC'!G$103*#REF!+IF(#REF!&gt;0,'Segmented SAUC'!G$106)+'Segmented SAUC'!G$107*#REF!</f>
        <v>#REF!</v>
      </c>
      <c r="H160" s="289" t="e">
        <f>IF(#REF!&gt;0,'Segmented SAUC'!H$98)+'Segmented SAUC'!H$99*#REF!+IF(#REF!&gt;0,'Segmented SAUC'!H$102)+'Segmented SAUC'!H$103*#REF!+IF(#REF!&gt;0,'Segmented SAUC'!H$106)+'Segmented SAUC'!H$107*#REF!</f>
        <v>#REF!</v>
      </c>
      <c r="I160" s="290" t="e">
        <f>IF(#REF!&gt;0,'Segmented SAUC'!I$98)+'Segmented SAUC'!I$99*#REF!+IF(#REF!&gt;0,'Segmented SAUC'!I$102)+'Segmented SAUC'!I$103*#REF!+IF(#REF!&gt;0,'Segmented SAUC'!I$106)+'Segmented SAUC'!I$107*#REF!</f>
        <v>#REF!</v>
      </c>
      <c r="J160" s="289" t="e">
        <f>IF(#REF!&gt;0,'Segmented SAUC'!J$98)+'Segmented SAUC'!J$99*#REF!+IF(#REF!&gt;0,'Segmented SAUC'!J$102)+'Segmented SAUC'!J$103*#REF!+IF(#REF!&gt;0,'Segmented SAUC'!J$106)+'Segmented SAUC'!J$107*#REF!</f>
        <v>#REF!</v>
      </c>
      <c r="K160" s="289" t="e">
        <f>IF(#REF!&gt;0,'Segmented SAUC'!K$98)+'Segmented SAUC'!K$99*#REF!+IF(#REF!&gt;0,'Segmented SAUC'!K$102)+'Segmented SAUC'!K$103*#REF!+IF(#REF!&gt;0,'Segmented SAUC'!K$106)+'Segmented SAUC'!K$107*#REF!</f>
        <v>#REF!</v>
      </c>
      <c r="L160" s="289" t="e">
        <f>IF(#REF!&gt;0,'Segmented SAUC'!L$98)+'Segmented SAUC'!L$99*#REF!+IF(#REF!&gt;0,'Segmented SAUC'!L$102)+'Segmented SAUC'!L$103*#REF!+IF(#REF!&gt;0,'Segmented SAUC'!L$106)+'Segmented SAUC'!L$107*#REF!</f>
        <v>#REF!</v>
      </c>
      <c r="M160" s="289" t="e">
        <f>IF(#REF!&gt;0,'Segmented SAUC'!M$98)+'Segmented SAUC'!M$99*#REF!+IF(#REF!&gt;0,'Segmented SAUC'!M$102)+'Segmented SAUC'!M$103*#REF!+IF(#REF!&gt;0,'Segmented SAUC'!M$106)+'Segmented SAUC'!M$107*#REF!</f>
        <v>#REF!</v>
      </c>
      <c r="N160" s="289" t="e">
        <f>IF(#REF!&gt;0,'Segmented SAUC'!N$98)+'Segmented SAUC'!N$99*#REF!+IF(#REF!&gt;0,'Segmented SAUC'!N$102)+'Segmented SAUC'!N$103*#REF!+IF(#REF!&gt;0,'Segmented SAUC'!N$106)+'Segmented SAUC'!N$107*#REF!</f>
        <v>#REF!</v>
      </c>
      <c r="O160" s="289" t="e">
        <f>IF(#REF!&gt;0,'Segmented SAUC'!O$98)+'Segmented SAUC'!O$99*#REF!+IF(#REF!&gt;0,'Segmented SAUC'!O$102)+'Segmented SAUC'!O$103*#REF!+IF(#REF!&gt;0,'Segmented SAUC'!O$106)+'Segmented SAUC'!O$107*#REF!</f>
        <v>#REF!</v>
      </c>
      <c r="P160" s="289" t="e">
        <f>IF(#REF!&gt;0,'Segmented SAUC'!P$98)+'Segmented SAUC'!P$99*#REF!+IF(#REF!&gt;0,'Segmented SAUC'!P$102)+'Segmented SAUC'!P$103*#REF!+IF(#REF!&gt;0,'Segmented SAUC'!P$106)+'Segmented SAUC'!P$107*#REF!</f>
        <v>#REF!</v>
      </c>
      <c r="Q160" s="289" t="e">
        <f>IF(#REF!&gt;0,'Segmented SAUC'!Q$98)+'Segmented SAUC'!Q$99*#REF!+IF(#REF!&gt;0,'Segmented SAUC'!Q$102)+'Segmented SAUC'!Q$103*#REF!+IF(#REF!&gt;0,'Segmented SAUC'!Q$106)+'Segmented SAUC'!Q$107*#REF!</f>
        <v>#REF!</v>
      </c>
      <c r="R160" s="289" t="e">
        <f>IF(#REF!&gt;0,'Segmented SAUC'!R$98)+'Segmented SAUC'!R$99*#REF!+IF(#REF!&gt;0,'Segmented SAUC'!R$102)+'Segmented SAUC'!R$103*#REF!+IF(#REF!&gt;0,'Segmented SAUC'!R$106)+'Segmented SAUC'!R$107*#REF!</f>
        <v>#REF!</v>
      </c>
    </row>
    <row r="161" spans="1:18">
      <c r="A161" s="261" t="e">
        <f>#REF!</f>
        <v>#REF!</v>
      </c>
      <c r="B161" s="289"/>
      <c r="C161" s="289" t="e">
        <f>IF(#REF!&gt;0,'Segmented SAUC'!C$98)+'Segmented SAUC'!C$99*#REF!+IF(#REF!&gt;0,'Segmented SAUC'!C$102)+'Segmented SAUC'!C$103*#REF!+IF(#REF!&gt;0,'Segmented SAUC'!C$106)+'Segmented SAUC'!C$107*#REF!</f>
        <v>#REF!</v>
      </c>
      <c r="D161" s="289" t="e">
        <f>IF(#REF!&gt;0,'Segmented SAUC'!D$98)+'Segmented SAUC'!D$99*#REF!+IF(#REF!&gt;0,'Segmented SAUC'!D$102)+'Segmented SAUC'!D$103*#REF!+IF(#REF!&gt;0,'Segmented SAUC'!D$106)+'Segmented SAUC'!D$107*#REF!</f>
        <v>#REF!</v>
      </c>
      <c r="E161" s="289" t="e">
        <f>IF(#REF!&gt;0,'Segmented SAUC'!E$98)+'Segmented SAUC'!E$99*#REF!+IF(#REF!&gt;0,'Segmented SAUC'!E$102)+'Segmented SAUC'!E$103*#REF!+IF(#REF!&gt;0,'Segmented SAUC'!E$106)+'Segmented SAUC'!E$107*#REF!</f>
        <v>#REF!</v>
      </c>
      <c r="F161" s="289" t="e">
        <f>IF(#REF!&gt;0,'Segmented SAUC'!F$98)+'Segmented SAUC'!F$99*#REF!+IF(#REF!&gt;0,'Segmented SAUC'!F$102)+'Segmented SAUC'!F$103*#REF!+IF(#REF!&gt;0,'Segmented SAUC'!F$106)+'Segmented SAUC'!F$107*#REF!</f>
        <v>#REF!</v>
      </c>
      <c r="G161" s="289" t="e">
        <f>IF(#REF!&gt;0,'Segmented SAUC'!G$98)+'Segmented SAUC'!G$99*#REF!+IF(#REF!&gt;0,'Segmented SAUC'!G$102)+'Segmented SAUC'!G$103*#REF!+IF(#REF!&gt;0,'Segmented SAUC'!G$106)+'Segmented SAUC'!G$107*#REF!</f>
        <v>#REF!</v>
      </c>
      <c r="H161" s="289" t="e">
        <f>IF(#REF!&gt;0,'Segmented SAUC'!H$98)+'Segmented SAUC'!H$99*#REF!+IF(#REF!&gt;0,'Segmented SAUC'!H$102)+'Segmented SAUC'!H$103*#REF!+IF(#REF!&gt;0,'Segmented SAUC'!H$106)+'Segmented SAUC'!H$107*#REF!</f>
        <v>#REF!</v>
      </c>
      <c r="I161" s="290" t="e">
        <f>IF(#REF!&gt;0,'Segmented SAUC'!I$98)+'Segmented SAUC'!I$99*#REF!+IF(#REF!&gt;0,'Segmented SAUC'!I$102)+'Segmented SAUC'!I$103*#REF!+IF(#REF!&gt;0,'Segmented SAUC'!I$106)+'Segmented SAUC'!I$107*#REF!</f>
        <v>#REF!</v>
      </c>
      <c r="J161" s="289" t="e">
        <f>IF(#REF!&gt;0,'Segmented SAUC'!J$98)+'Segmented SAUC'!J$99*#REF!+IF(#REF!&gt;0,'Segmented SAUC'!J$102)+'Segmented SAUC'!J$103*#REF!+IF(#REF!&gt;0,'Segmented SAUC'!J$106)+'Segmented SAUC'!J$107*#REF!</f>
        <v>#REF!</v>
      </c>
      <c r="K161" s="289" t="e">
        <f>IF(#REF!&gt;0,'Segmented SAUC'!K$98)+'Segmented SAUC'!K$99*#REF!+IF(#REF!&gt;0,'Segmented SAUC'!K$102)+'Segmented SAUC'!K$103*#REF!+IF(#REF!&gt;0,'Segmented SAUC'!K$106)+'Segmented SAUC'!K$107*#REF!</f>
        <v>#REF!</v>
      </c>
      <c r="L161" s="289" t="e">
        <f>IF(#REF!&gt;0,'Segmented SAUC'!L$98)+'Segmented SAUC'!L$99*#REF!+IF(#REF!&gt;0,'Segmented SAUC'!L$102)+'Segmented SAUC'!L$103*#REF!+IF(#REF!&gt;0,'Segmented SAUC'!L$106)+'Segmented SAUC'!L$107*#REF!</f>
        <v>#REF!</v>
      </c>
      <c r="M161" s="289" t="e">
        <f>IF(#REF!&gt;0,'Segmented SAUC'!M$98)+'Segmented SAUC'!M$99*#REF!+IF(#REF!&gt;0,'Segmented SAUC'!M$102)+'Segmented SAUC'!M$103*#REF!+IF(#REF!&gt;0,'Segmented SAUC'!M$106)+'Segmented SAUC'!M$107*#REF!</f>
        <v>#REF!</v>
      </c>
      <c r="N161" s="289" t="e">
        <f>IF(#REF!&gt;0,'Segmented SAUC'!N$98)+'Segmented SAUC'!N$99*#REF!+IF(#REF!&gt;0,'Segmented SAUC'!N$102)+'Segmented SAUC'!N$103*#REF!+IF(#REF!&gt;0,'Segmented SAUC'!N$106)+'Segmented SAUC'!N$107*#REF!</f>
        <v>#REF!</v>
      </c>
      <c r="O161" s="289" t="e">
        <f>IF(#REF!&gt;0,'Segmented SAUC'!O$98)+'Segmented SAUC'!O$99*#REF!+IF(#REF!&gt;0,'Segmented SAUC'!O$102)+'Segmented SAUC'!O$103*#REF!+IF(#REF!&gt;0,'Segmented SAUC'!O$106)+'Segmented SAUC'!O$107*#REF!</f>
        <v>#REF!</v>
      </c>
      <c r="P161" s="289" t="e">
        <f>IF(#REF!&gt;0,'Segmented SAUC'!P$98)+'Segmented SAUC'!P$99*#REF!+IF(#REF!&gt;0,'Segmented SAUC'!P$102)+'Segmented SAUC'!P$103*#REF!+IF(#REF!&gt;0,'Segmented SAUC'!P$106)+'Segmented SAUC'!P$107*#REF!</f>
        <v>#REF!</v>
      </c>
      <c r="Q161" s="289" t="e">
        <f>IF(#REF!&gt;0,'Segmented SAUC'!Q$98)+'Segmented SAUC'!Q$99*#REF!+IF(#REF!&gt;0,'Segmented SAUC'!Q$102)+'Segmented SAUC'!Q$103*#REF!+IF(#REF!&gt;0,'Segmented SAUC'!Q$106)+'Segmented SAUC'!Q$107*#REF!</f>
        <v>#REF!</v>
      </c>
      <c r="R161" s="289" t="e">
        <f>IF(#REF!&gt;0,'Segmented SAUC'!R$98)+'Segmented SAUC'!R$99*#REF!+IF(#REF!&gt;0,'Segmented SAUC'!R$102)+'Segmented SAUC'!R$103*#REF!+IF(#REF!&gt;0,'Segmented SAUC'!R$106)+'Segmented SAUC'!R$107*#REF!</f>
        <v>#REF!</v>
      </c>
    </row>
    <row r="162" spans="1:18">
      <c r="A162" s="261" t="e">
        <f>#REF!</f>
        <v>#REF!</v>
      </c>
      <c r="B162" s="289"/>
      <c r="C162" s="289" t="e">
        <f>IF(#REF!&gt;0,'Segmented SAUC'!C$98)+'Segmented SAUC'!C$99*#REF!+IF(#REF!&gt;0,'Segmented SAUC'!C$102)+'Segmented SAUC'!C$103*#REF!+IF(#REF!&gt;0,'Segmented SAUC'!C$106)+'Segmented SAUC'!C$107*#REF!</f>
        <v>#REF!</v>
      </c>
      <c r="D162" s="289" t="e">
        <f>IF(#REF!&gt;0,'Segmented SAUC'!D$98)+'Segmented SAUC'!D$99*#REF!+IF(#REF!&gt;0,'Segmented SAUC'!D$102)+'Segmented SAUC'!D$103*#REF!+IF(#REF!&gt;0,'Segmented SAUC'!D$106)+'Segmented SAUC'!D$107*#REF!</f>
        <v>#REF!</v>
      </c>
      <c r="E162" s="289" t="e">
        <f>IF(#REF!&gt;0,'Segmented SAUC'!E$98)+'Segmented SAUC'!E$99*#REF!+IF(#REF!&gt;0,'Segmented SAUC'!E$102)+'Segmented SAUC'!E$103*#REF!+IF(#REF!&gt;0,'Segmented SAUC'!E$106)+'Segmented SAUC'!E$107*#REF!</f>
        <v>#REF!</v>
      </c>
      <c r="F162" s="289" t="e">
        <f>IF(#REF!&gt;0,'Segmented SAUC'!F$98)+'Segmented SAUC'!F$99*#REF!+IF(#REF!&gt;0,'Segmented SAUC'!F$102)+'Segmented SAUC'!F$103*#REF!+IF(#REF!&gt;0,'Segmented SAUC'!F$106)+'Segmented SAUC'!F$107*#REF!</f>
        <v>#REF!</v>
      </c>
      <c r="G162" s="289" t="e">
        <f>IF(#REF!&gt;0,'Segmented SAUC'!G$98)+'Segmented SAUC'!G$99*#REF!+IF(#REF!&gt;0,'Segmented SAUC'!G$102)+'Segmented SAUC'!G$103*#REF!+IF(#REF!&gt;0,'Segmented SAUC'!G$106)+'Segmented SAUC'!G$107*#REF!</f>
        <v>#REF!</v>
      </c>
      <c r="H162" s="289" t="e">
        <f>IF(#REF!&gt;0,'Segmented SAUC'!H$98)+'Segmented SAUC'!H$99*#REF!+IF(#REF!&gt;0,'Segmented SAUC'!H$102)+'Segmented SAUC'!H$103*#REF!+IF(#REF!&gt;0,'Segmented SAUC'!H$106)+'Segmented SAUC'!H$107*#REF!</f>
        <v>#REF!</v>
      </c>
      <c r="I162" s="290" t="e">
        <f>IF(#REF!&gt;0,'Segmented SAUC'!I$98)+'Segmented SAUC'!I$99*#REF!+IF(#REF!&gt;0,'Segmented SAUC'!I$102)+'Segmented SAUC'!I$103*#REF!+IF(#REF!&gt;0,'Segmented SAUC'!I$106)+'Segmented SAUC'!I$107*#REF!</f>
        <v>#REF!</v>
      </c>
      <c r="J162" s="289" t="e">
        <f>IF(#REF!&gt;0,'Segmented SAUC'!J$98)+'Segmented SAUC'!J$99*#REF!+IF(#REF!&gt;0,'Segmented SAUC'!J$102)+'Segmented SAUC'!J$103*#REF!+IF(#REF!&gt;0,'Segmented SAUC'!J$106)+'Segmented SAUC'!J$107*#REF!</f>
        <v>#REF!</v>
      </c>
      <c r="K162" s="289" t="e">
        <f>IF(#REF!&gt;0,'Segmented SAUC'!K$98)+'Segmented SAUC'!K$99*#REF!+IF(#REF!&gt;0,'Segmented SAUC'!K$102)+'Segmented SAUC'!K$103*#REF!+IF(#REF!&gt;0,'Segmented SAUC'!K$106)+'Segmented SAUC'!K$107*#REF!</f>
        <v>#REF!</v>
      </c>
      <c r="L162" s="289" t="e">
        <f>IF(#REF!&gt;0,'Segmented SAUC'!L$98)+'Segmented SAUC'!L$99*#REF!+IF(#REF!&gt;0,'Segmented SAUC'!L$102)+'Segmented SAUC'!L$103*#REF!+IF(#REF!&gt;0,'Segmented SAUC'!L$106)+'Segmented SAUC'!L$107*#REF!</f>
        <v>#REF!</v>
      </c>
      <c r="M162" s="289" t="e">
        <f>IF(#REF!&gt;0,'Segmented SAUC'!M$98)+'Segmented SAUC'!M$99*#REF!+IF(#REF!&gt;0,'Segmented SAUC'!M$102)+'Segmented SAUC'!M$103*#REF!+IF(#REF!&gt;0,'Segmented SAUC'!M$106)+'Segmented SAUC'!M$107*#REF!</f>
        <v>#REF!</v>
      </c>
      <c r="N162" s="289" t="e">
        <f>IF(#REF!&gt;0,'Segmented SAUC'!N$98)+'Segmented SAUC'!N$99*#REF!+IF(#REF!&gt;0,'Segmented SAUC'!N$102)+'Segmented SAUC'!N$103*#REF!+IF(#REF!&gt;0,'Segmented SAUC'!N$106)+'Segmented SAUC'!N$107*#REF!</f>
        <v>#REF!</v>
      </c>
      <c r="O162" s="289" t="e">
        <f>IF(#REF!&gt;0,'Segmented SAUC'!O$98)+'Segmented SAUC'!O$99*#REF!+IF(#REF!&gt;0,'Segmented SAUC'!O$102)+'Segmented SAUC'!O$103*#REF!+IF(#REF!&gt;0,'Segmented SAUC'!O$106)+'Segmented SAUC'!O$107*#REF!</f>
        <v>#REF!</v>
      </c>
      <c r="P162" s="289" t="e">
        <f>IF(#REF!&gt;0,'Segmented SAUC'!P$98)+'Segmented SAUC'!P$99*#REF!+IF(#REF!&gt;0,'Segmented SAUC'!P$102)+'Segmented SAUC'!P$103*#REF!+IF(#REF!&gt;0,'Segmented SAUC'!P$106)+'Segmented SAUC'!P$107*#REF!</f>
        <v>#REF!</v>
      </c>
      <c r="Q162" s="289" t="e">
        <f>IF(#REF!&gt;0,'Segmented SAUC'!Q$98)+'Segmented SAUC'!Q$99*#REF!+IF(#REF!&gt;0,'Segmented SAUC'!Q$102)+'Segmented SAUC'!Q$103*#REF!+IF(#REF!&gt;0,'Segmented SAUC'!Q$106)+'Segmented SAUC'!Q$107*#REF!</f>
        <v>#REF!</v>
      </c>
      <c r="R162" s="289" t="e">
        <f>IF(#REF!&gt;0,'Segmented SAUC'!R$98)+'Segmented SAUC'!R$99*#REF!+IF(#REF!&gt;0,'Segmented SAUC'!R$102)+'Segmented SAUC'!R$103*#REF!+IF(#REF!&gt;0,'Segmented SAUC'!R$106)+'Segmented SAUC'!R$107*#REF!</f>
        <v>#REF!</v>
      </c>
    </row>
    <row r="163" spans="1:18">
      <c r="A163" s="261" t="e">
        <f>#REF!</f>
        <v>#REF!</v>
      </c>
      <c r="B163" s="289"/>
      <c r="C163" s="289" t="e">
        <f>IF(#REF!&gt;0,'Segmented SAUC'!C$98)+'Segmented SAUC'!C$99*#REF!+IF(#REF!&gt;0,'Segmented SAUC'!C$102)+'Segmented SAUC'!C$103*#REF!+IF(#REF!&gt;0,'Segmented SAUC'!C$106)+'Segmented SAUC'!C$107*#REF!</f>
        <v>#REF!</v>
      </c>
      <c r="D163" s="289" t="e">
        <f>IF(#REF!&gt;0,'Segmented SAUC'!D$98)+'Segmented SAUC'!D$99*#REF!+IF(#REF!&gt;0,'Segmented SAUC'!D$102)+'Segmented SAUC'!D$103*#REF!+IF(#REF!&gt;0,'Segmented SAUC'!D$106)+'Segmented SAUC'!D$107*#REF!</f>
        <v>#REF!</v>
      </c>
      <c r="E163" s="289" t="e">
        <f>IF(#REF!&gt;0,'Segmented SAUC'!E$98)+'Segmented SAUC'!E$99*#REF!+IF(#REF!&gt;0,'Segmented SAUC'!E$102)+'Segmented SAUC'!E$103*#REF!+IF(#REF!&gt;0,'Segmented SAUC'!E$106)+'Segmented SAUC'!E$107*#REF!</f>
        <v>#REF!</v>
      </c>
      <c r="F163" s="289" t="e">
        <f>IF(#REF!&gt;0,'Segmented SAUC'!F$98)+'Segmented SAUC'!F$99*#REF!+IF(#REF!&gt;0,'Segmented SAUC'!F$102)+'Segmented SAUC'!F$103*#REF!+IF(#REF!&gt;0,'Segmented SAUC'!F$106)+'Segmented SAUC'!F$107*#REF!</f>
        <v>#REF!</v>
      </c>
      <c r="G163" s="289" t="e">
        <f>IF(#REF!&gt;0,'Segmented SAUC'!G$98)+'Segmented SAUC'!G$99*#REF!+IF(#REF!&gt;0,'Segmented SAUC'!G$102)+'Segmented SAUC'!G$103*#REF!+IF(#REF!&gt;0,'Segmented SAUC'!G$106)+'Segmented SAUC'!G$107*#REF!</f>
        <v>#REF!</v>
      </c>
      <c r="H163" s="289" t="e">
        <f>IF(#REF!&gt;0,'Segmented SAUC'!H$98)+'Segmented SAUC'!H$99*#REF!+IF(#REF!&gt;0,'Segmented SAUC'!H$102)+'Segmented SAUC'!H$103*#REF!+IF(#REF!&gt;0,'Segmented SAUC'!H$106)+'Segmented SAUC'!H$107*#REF!</f>
        <v>#REF!</v>
      </c>
      <c r="I163" s="290" t="e">
        <f>IF(#REF!&gt;0,'Segmented SAUC'!I$98)+'Segmented SAUC'!I$99*#REF!+IF(#REF!&gt;0,'Segmented SAUC'!I$102)+'Segmented SAUC'!I$103*#REF!+IF(#REF!&gt;0,'Segmented SAUC'!I$106)+'Segmented SAUC'!I$107*#REF!</f>
        <v>#REF!</v>
      </c>
      <c r="J163" s="289" t="e">
        <f>IF(#REF!&gt;0,'Segmented SAUC'!J$98)+'Segmented SAUC'!J$99*#REF!+IF(#REF!&gt;0,'Segmented SAUC'!J$102)+'Segmented SAUC'!J$103*#REF!+IF(#REF!&gt;0,'Segmented SAUC'!J$106)+'Segmented SAUC'!J$107*#REF!</f>
        <v>#REF!</v>
      </c>
      <c r="K163" s="289" t="e">
        <f>IF(#REF!&gt;0,'Segmented SAUC'!K$98)+'Segmented SAUC'!K$99*#REF!+IF(#REF!&gt;0,'Segmented SAUC'!K$102)+'Segmented SAUC'!K$103*#REF!+IF(#REF!&gt;0,'Segmented SAUC'!K$106)+'Segmented SAUC'!K$107*#REF!</f>
        <v>#REF!</v>
      </c>
      <c r="L163" s="289" t="e">
        <f>IF(#REF!&gt;0,'Segmented SAUC'!L$98)+'Segmented SAUC'!L$99*#REF!+IF(#REF!&gt;0,'Segmented SAUC'!L$102)+'Segmented SAUC'!L$103*#REF!+IF(#REF!&gt;0,'Segmented SAUC'!L$106)+'Segmented SAUC'!L$107*#REF!</f>
        <v>#REF!</v>
      </c>
      <c r="M163" s="289" t="e">
        <f>IF(#REF!&gt;0,'Segmented SAUC'!M$98)+'Segmented SAUC'!M$99*#REF!+IF(#REF!&gt;0,'Segmented SAUC'!M$102)+'Segmented SAUC'!M$103*#REF!+IF(#REF!&gt;0,'Segmented SAUC'!M$106)+'Segmented SAUC'!M$107*#REF!</f>
        <v>#REF!</v>
      </c>
      <c r="N163" s="289" t="e">
        <f>IF(#REF!&gt;0,'Segmented SAUC'!N$98)+'Segmented SAUC'!N$99*#REF!+IF(#REF!&gt;0,'Segmented SAUC'!N$102)+'Segmented SAUC'!N$103*#REF!+IF(#REF!&gt;0,'Segmented SAUC'!N$106)+'Segmented SAUC'!N$107*#REF!</f>
        <v>#REF!</v>
      </c>
      <c r="O163" s="289" t="e">
        <f>IF(#REF!&gt;0,'Segmented SAUC'!O$98)+'Segmented SAUC'!O$99*#REF!+IF(#REF!&gt;0,'Segmented SAUC'!O$102)+'Segmented SAUC'!O$103*#REF!+IF(#REF!&gt;0,'Segmented SAUC'!O$106)+'Segmented SAUC'!O$107*#REF!</f>
        <v>#REF!</v>
      </c>
      <c r="P163" s="289" t="e">
        <f>IF(#REF!&gt;0,'Segmented SAUC'!P$98)+'Segmented SAUC'!P$99*#REF!+IF(#REF!&gt;0,'Segmented SAUC'!P$102)+'Segmented SAUC'!P$103*#REF!+IF(#REF!&gt;0,'Segmented SAUC'!P$106)+'Segmented SAUC'!P$107*#REF!</f>
        <v>#REF!</v>
      </c>
      <c r="Q163" s="289" t="e">
        <f>IF(#REF!&gt;0,'Segmented SAUC'!Q$98)+'Segmented SAUC'!Q$99*#REF!+IF(#REF!&gt;0,'Segmented SAUC'!Q$102)+'Segmented SAUC'!Q$103*#REF!+IF(#REF!&gt;0,'Segmented SAUC'!Q$106)+'Segmented SAUC'!Q$107*#REF!</f>
        <v>#REF!</v>
      </c>
      <c r="R163" s="289" t="e">
        <f>IF(#REF!&gt;0,'Segmented SAUC'!R$98)+'Segmented SAUC'!R$99*#REF!+IF(#REF!&gt;0,'Segmented SAUC'!R$102)+'Segmented SAUC'!R$103*#REF!+IF(#REF!&gt;0,'Segmented SAUC'!R$106)+'Segmented SAUC'!R$107*#REF!</f>
        <v>#REF!</v>
      </c>
    </row>
    <row r="164" spans="1:18">
      <c r="A164" s="261" t="e">
        <f>#REF!</f>
        <v>#REF!</v>
      </c>
      <c r="B164" s="289"/>
      <c r="C164" s="289" t="e">
        <f>IF(#REF!&gt;0,'Segmented SAUC'!C$98)+'Segmented SAUC'!C$99*#REF!+IF(#REF!&gt;0,'Segmented SAUC'!C$102)+'Segmented SAUC'!C$103*#REF!+IF(#REF!&gt;0,'Segmented SAUC'!C$106)+'Segmented SAUC'!C$107*#REF!</f>
        <v>#REF!</v>
      </c>
      <c r="D164" s="289" t="e">
        <f>IF(#REF!&gt;0,'Segmented SAUC'!D$98)+'Segmented SAUC'!D$99*#REF!+IF(#REF!&gt;0,'Segmented SAUC'!D$102)+'Segmented SAUC'!D$103*#REF!+IF(#REF!&gt;0,'Segmented SAUC'!D$106)+'Segmented SAUC'!D$107*#REF!</f>
        <v>#REF!</v>
      </c>
      <c r="E164" s="289" t="e">
        <f>IF(#REF!&gt;0,'Segmented SAUC'!E$98)+'Segmented SAUC'!E$99*#REF!+IF(#REF!&gt;0,'Segmented SAUC'!E$102)+'Segmented SAUC'!E$103*#REF!+IF(#REF!&gt;0,'Segmented SAUC'!E$106)+'Segmented SAUC'!E$107*#REF!</f>
        <v>#REF!</v>
      </c>
      <c r="F164" s="289" t="e">
        <f>IF(#REF!&gt;0,'Segmented SAUC'!F$98)+'Segmented SAUC'!F$99*#REF!+IF(#REF!&gt;0,'Segmented SAUC'!F$102)+'Segmented SAUC'!F$103*#REF!+IF(#REF!&gt;0,'Segmented SAUC'!F$106)+'Segmented SAUC'!F$107*#REF!</f>
        <v>#REF!</v>
      </c>
      <c r="G164" s="289" t="e">
        <f>IF(#REF!&gt;0,'Segmented SAUC'!G$98)+'Segmented SAUC'!G$99*#REF!+IF(#REF!&gt;0,'Segmented SAUC'!G$102)+'Segmented SAUC'!G$103*#REF!+IF(#REF!&gt;0,'Segmented SAUC'!G$106)+'Segmented SAUC'!G$107*#REF!</f>
        <v>#REF!</v>
      </c>
      <c r="H164" s="289" t="e">
        <f>IF(#REF!&gt;0,'Segmented SAUC'!H$98)+'Segmented SAUC'!H$99*#REF!+IF(#REF!&gt;0,'Segmented SAUC'!H$102)+'Segmented SAUC'!H$103*#REF!+IF(#REF!&gt;0,'Segmented SAUC'!H$106)+'Segmented SAUC'!H$107*#REF!</f>
        <v>#REF!</v>
      </c>
      <c r="I164" s="290" t="e">
        <f>IF(#REF!&gt;0,'Segmented SAUC'!I$98)+'Segmented SAUC'!I$99*#REF!+IF(#REF!&gt;0,'Segmented SAUC'!I$102)+'Segmented SAUC'!I$103*#REF!+IF(#REF!&gt;0,'Segmented SAUC'!I$106)+'Segmented SAUC'!I$107*#REF!</f>
        <v>#REF!</v>
      </c>
      <c r="J164" s="289" t="e">
        <f>IF(#REF!&gt;0,'Segmented SAUC'!J$98)+'Segmented SAUC'!J$99*#REF!+IF(#REF!&gt;0,'Segmented SAUC'!J$102)+'Segmented SAUC'!J$103*#REF!+IF(#REF!&gt;0,'Segmented SAUC'!J$106)+'Segmented SAUC'!J$107*#REF!</f>
        <v>#REF!</v>
      </c>
      <c r="K164" s="289" t="e">
        <f>IF(#REF!&gt;0,'Segmented SAUC'!K$98)+'Segmented SAUC'!K$99*#REF!+IF(#REF!&gt;0,'Segmented SAUC'!K$102)+'Segmented SAUC'!K$103*#REF!+IF(#REF!&gt;0,'Segmented SAUC'!K$106)+'Segmented SAUC'!K$107*#REF!</f>
        <v>#REF!</v>
      </c>
      <c r="L164" s="289" t="e">
        <f>IF(#REF!&gt;0,'Segmented SAUC'!L$98)+'Segmented SAUC'!L$99*#REF!+IF(#REF!&gt;0,'Segmented SAUC'!L$102)+'Segmented SAUC'!L$103*#REF!+IF(#REF!&gt;0,'Segmented SAUC'!L$106)+'Segmented SAUC'!L$107*#REF!</f>
        <v>#REF!</v>
      </c>
      <c r="M164" s="289" t="e">
        <f>IF(#REF!&gt;0,'Segmented SAUC'!M$98)+'Segmented SAUC'!M$99*#REF!+IF(#REF!&gt;0,'Segmented SAUC'!M$102)+'Segmented SAUC'!M$103*#REF!+IF(#REF!&gt;0,'Segmented SAUC'!M$106)+'Segmented SAUC'!M$107*#REF!</f>
        <v>#REF!</v>
      </c>
      <c r="N164" s="289" t="e">
        <f>IF(#REF!&gt;0,'Segmented SAUC'!N$98)+'Segmented SAUC'!N$99*#REF!+IF(#REF!&gt;0,'Segmented SAUC'!N$102)+'Segmented SAUC'!N$103*#REF!+IF(#REF!&gt;0,'Segmented SAUC'!N$106)+'Segmented SAUC'!N$107*#REF!</f>
        <v>#REF!</v>
      </c>
      <c r="O164" s="289" t="e">
        <f>IF(#REF!&gt;0,'Segmented SAUC'!O$98)+'Segmented SAUC'!O$99*#REF!+IF(#REF!&gt;0,'Segmented SAUC'!O$102)+'Segmented SAUC'!O$103*#REF!+IF(#REF!&gt;0,'Segmented SAUC'!O$106)+'Segmented SAUC'!O$107*#REF!</f>
        <v>#REF!</v>
      </c>
      <c r="P164" s="289" t="e">
        <f>IF(#REF!&gt;0,'Segmented SAUC'!P$98)+'Segmented SAUC'!P$99*#REF!+IF(#REF!&gt;0,'Segmented SAUC'!P$102)+'Segmented SAUC'!P$103*#REF!+IF(#REF!&gt;0,'Segmented SAUC'!P$106)+'Segmented SAUC'!P$107*#REF!</f>
        <v>#REF!</v>
      </c>
      <c r="Q164" s="289" t="e">
        <f>IF(#REF!&gt;0,'Segmented SAUC'!Q$98)+'Segmented SAUC'!Q$99*#REF!+IF(#REF!&gt;0,'Segmented SAUC'!Q$102)+'Segmented SAUC'!Q$103*#REF!+IF(#REF!&gt;0,'Segmented SAUC'!Q$106)+'Segmented SAUC'!Q$107*#REF!</f>
        <v>#REF!</v>
      </c>
      <c r="R164" s="289" t="e">
        <f>IF(#REF!&gt;0,'Segmented SAUC'!R$98)+'Segmented SAUC'!R$99*#REF!+IF(#REF!&gt;0,'Segmented SAUC'!R$102)+'Segmented SAUC'!R$103*#REF!+IF(#REF!&gt;0,'Segmented SAUC'!R$106)+'Segmented SAUC'!R$107*#REF!</f>
        <v>#REF!</v>
      </c>
    </row>
    <row r="165" spans="1:18">
      <c r="A165" s="261" t="e">
        <f>#REF!</f>
        <v>#REF!</v>
      </c>
      <c r="B165" s="289"/>
      <c r="C165" s="289" t="e">
        <f>IF(#REF!&gt;0,'Segmented SAUC'!C$98)+'Segmented SAUC'!C$99*#REF!+IF(#REF!&gt;0,'Segmented SAUC'!C$102)+'Segmented SAUC'!C$103*#REF!+IF(#REF!&gt;0,'Segmented SAUC'!C$106)+'Segmented SAUC'!C$107*#REF!</f>
        <v>#REF!</v>
      </c>
      <c r="D165" s="289" t="e">
        <f>IF(#REF!&gt;0,'Segmented SAUC'!D$98)+'Segmented SAUC'!D$99*#REF!+IF(#REF!&gt;0,'Segmented SAUC'!D$102)+'Segmented SAUC'!D$103*#REF!+IF(#REF!&gt;0,'Segmented SAUC'!D$106)+'Segmented SAUC'!D$107*#REF!</f>
        <v>#REF!</v>
      </c>
      <c r="E165" s="289" t="e">
        <f>IF(#REF!&gt;0,'Segmented SAUC'!E$98)+'Segmented SAUC'!E$99*#REF!+IF(#REF!&gt;0,'Segmented SAUC'!E$102)+'Segmented SAUC'!E$103*#REF!+IF(#REF!&gt;0,'Segmented SAUC'!E$106)+'Segmented SAUC'!E$107*#REF!</f>
        <v>#REF!</v>
      </c>
      <c r="F165" s="289" t="e">
        <f>IF(#REF!&gt;0,'Segmented SAUC'!F$98)+'Segmented SAUC'!F$99*#REF!+IF(#REF!&gt;0,'Segmented SAUC'!F$102)+'Segmented SAUC'!F$103*#REF!+IF(#REF!&gt;0,'Segmented SAUC'!F$106)+'Segmented SAUC'!F$107*#REF!</f>
        <v>#REF!</v>
      </c>
      <c r="G165" s="289" t="e">
        <f>IF(#REF!&gt;0,'Segmented SAUC'!G$98)+'Segmented SAUC'!G$99*#REF!+IF(#REF!&gt;0,'Segmented SAUC'!G$102)+'Segmented SAUC'!G$103*#REF!+IF(#REF!&gt;0,'Segmented SAUC'!G$106)+'Segmented SAUC'!G$107*#REF!</f>
        <v>#REF!</v>
      </c>
      <c r="H165" s="289" t="e">
        <f>IF(#REF!&gt;0,'Segmented SAUC'!H$98)+'Segmented SAUC'!H$99*#REF!+IF(#REF!&gt;0,'Segmented SAUC'!H$102)+'Segmented SAUC'!H$103*#REF!+IF(#REF!&gt;0,'Segmented SAUC'!H$106)+'Segmented SAUC'!H$107*#REF!</f>
        <v>#REF!</v>
      </c>
      <c r="I165" s="290" t="e">
        <f>IF(#REF!&gt;0,'Segmented SAUC'!I$98)+'Segmented SAUC'!I$99*#REF!+IF(#REF!&gt;0,'Segmented SAUC'!I$102)+'Segmented SAUC'!I$103*#REF!+IF(#REF!&gt;0,'Segmented SAUC'!I$106)+'Segmented SAUC'!I$107*#REF!</f>
        <v>#REF!</v>
      </c>
      <c r="J165" s="289" t="e">
        <f>IF(#REF!&gt;0,'Segmented SAUC'!J$98)+'Segmented SAUC'!J$99*#REF!+IF(#REF!&gt;0,'Segmented SAUC'!J$102)+'Segmented SAUC'!J$103*#REF!+IF(#REF!&gt;0,'Segmented SAUC'!J$106)+'Segmented SAUC'!J$107*#REF!</f>
        <v>#REF!</v>
      </c>
      <c r="K165" s="289" t="e">
        <f>IF(#REF!&gt;0,'Segmented SAUC'!K$98)+'Segmented SAUC'!K$99*#REF!+IF(#REF!&gt;0,'Segmented SAUC'!K$102)+'Segmented SAUC'!K$103*#REF!+IF(#REF!&gt;0,'Segmented SAUC'!K$106)+'Segmented SAUC'!K$107*#REF!</f>
        <v>#REF!</v>
      </c>
      <c r="L165" s="289" t="e">
        <f>IF(#REF!&gt;0,'Segmented SAUC'!L$98)+'Segmented SAUC'!L$99*#REF!+IF(#REF!&gt;0,'Segmented SAUC'!L$102)+'Segmented SAUC'!L$103*#REF!+IF(#REF!&gt;0,'Segmented SAUC'!L$106)+'Segmented SAUC'!L$107*#REF!</f>
        <v>#REF!</v>
      </c>
      <c r="M165" s="289" t="e">
        <f>IF(#REF!&gt;0,'Segmented SAUC'!M$98)+'Segmented SAUC'!M$99*#REF!+IF(#REF!&gt;0,'Segmented SAUC'!M$102)+'Segmented SAUC'!M$103*#REF!+IF(#REF!&gt;0,'Segmented SAUC'!M$106)+'Segmented SAUC'!M$107*#REF!</f>
        <v>#REF!</v>
      </c>
      <c r="N165" s="289" t="e">
        <f>IF(#REF!&gt;0,'Segmented SAUC'!N$98)+'Segmented SAUC'!N$99*#REF!+IF(#REF!&gt;0,'Segmented SAUC'!N$102)+'Segmented SAUC'!N$103*#REF!+IF(#REF!&gt;0,'Segmented SAUC'!N$106)+'Segmented SAUC'!N$107*#REF!</f>
        <v>#REF!</v>
      </c>
      <c r="O165" s="289" t="e">
        <f>IF(#REF!&gt;0,'Segmented SAUC'!O$98)+'Segmented SAUC'!O$99*#REF!+IF(#REF!&gt;0,'Segmented SAUC'!O$102)+'Segmented SAUC'!O$103*#REF!+IF(#REF!&gt;0,'Segmented SAUC'!O$106)+'Segmented SAUC'!O$107*#REF!</f>
        <v>#REF!</v>
      </c>
      <c r="P165" s="289" t="e">
        <f>IF(#REF!&gt;0,'Segmented SAUC'!P$98)+'Segmented SAUC'!P$99*#REF!+IF(#REF!&gt;0,'Segmented SAUC'!P$102)+'Segmented SAUC'!P$103*#REF!+IF(#REF!&gt;0,'Segmented SAUC'!P$106)+'Segmented SAUC'!P$107*#REF!</f>
        <v>#REF!</v>
      </c>
      <c r="Q165" s="289" t="e">
        <f>IF(#REF!&gt;0,'Segmented SAUC'!Q$98)+'Segmented SAUC'!Q$99*#REF!+IF(#REF!&gt;0,'Segmented SAUC'!Q$102)+'Segmented SAUC'!Q$103*#REF!+IF(#REF!&gt;0,'Segmented SAUC'!Q$106)+'Segmented SAUC'!Q$107*#REF!</f>
        <v>#REF!</v>
      </c>
      <c r="R165" s="289" t="e">
        <f>IF(#REF!&gt;0,'Segmented SAUC'!R$98)+'Segmented SAUC'!R$99*#REF!+IF(#REF!&gt;0,'Segmented SAUC'!R$102)+'Segmented SAUC'!R$103*#REF!+IF(#REF!&gt;0,'Segmented SAUC'!R$106)+'Segmented SAUC'!R$107*#REF!</f>
        <v>#REF!</v>
      </c>
    </row>
    <row r="166" spans="1:18">
      <c r="A166" s="261" t="e">
        <f>#REF!</f>
        <v>#REF!</v>
      </c>
      <c r="B166" s="289"/>
      <c r="C166" s="289" t="e">
        <f>IF(#REF!&gt;0,'Segmented SAUC'!C$98)+'Segmented SAUC'!C$99*#REF!+IF(#REF!&gt;0,'Segmented SAUC'!C$102)+'Segmented SAUC'!C$103*#REF!+IF(#REF!&gt;0,'Segmented SAUC'!C$106)+'Segmented SAUC'!C$107*#REF!</f>
        <v>#REF!</v>
      </c>
      <c r="D166" s="289" t="e">
        <f>IF(#REF!&gt;0,'Segmented SAUC'!D$98)+'Segmented SAUC'!D$99*#REF!+IF(#REF!&gt;0,'Segmented SAUC'!D$102)+'Segmented SAUC'!D$103*#REF!+IF(#REF!&gt;0,'Segmented SAUC'!D$106)+'Segmented SAUC'!D$107*#REF!</f>
        <v>#REF!</v>
      </c>
      <c r="E166" s="289" t="e">
        <f>IF(#REF!&gt;0,'Segmented SAUC'!E$98)+'Segmented SAUC'!E$99*#REF!+IF(#REF!&gt;0,'Segmented SAUC'!E$102)+'Segmented SAUC'!E$103*#REF!+IF(#REF!&gt;0,'Segmented SAUC'!E$106)+'Segmented SAUC'!E$107*#REF!</f>
        <v>#REF!</v>
      </c>
      <c r="F166" s="289" t="e">
        <f>IF(#REF!&gt;0,'Segmented SAUC'!F$98)+'Segmented SAUC'!F$99*#REF!+IF(#REF!&gt;0,'Segmented SAUC'!F$102)+'Segmented SAUC'!F$103*#REF!+IF(#REF!&gt;0,'Segmented SAUC'!F$106)+'Segmented SAUC'!F$107*#REF!</f>
        <v>#REF!</v>
      </c>
      <c r="G166" s="289" t="e">
        <f>IF(#REF!&gt;0,'Segmented SAUC'!G$98)+'Segmented SAUC'!G$99*#REF!+IF(#REF!&gt;0,'Segmented SAUC'!G$102)+'Segmented SAUC'!G$103*#REF!+IF(#REF!&gt;0,'Segmented SAUC'!G$106)+'Segmented SAUC'!G$107*#REF!</f>
        <v>#REF!</v>
      </c>
      <c r="H166" s="289" t="e">
        <f>IF(#REF!&gt;0,'Segmented SAUC'!H$98)+'Segmented SAUC'!H$99*#REF!+IF(#REF!&gt;0,'Segmented SAUC'!H$102)+'Segmented SAUC'!H$103*#REF!+IF(#REF!&gt;0,'Segmented SAUC'!H$106)+'Segmented SAUC'!H$107*#REF!</f>
        <v>#REF!</v>
      </c>
      <c r="I166" s="290" t="e">
        <f>IF(#REF!&gt;0,'Segmented SAUC'!I$98)+'Segmented SAUC'!I$99*#REF!+IF(#REF!&gt;0,'Segmented SAUC'!I$102)+'Segmented SAUC'!I$103*#REF!+IF(#REF!&gt;0,'Segmented SAUC'!I$106)+'Segmented SAUC'!I$107*#REF!</f>
        <v>#REF!</v>
      </c>
      <c r="J166" s="289" t="e">
        <f>IF(#REF!&gt;0,'Segmented SAUC'!J$98)+'Segmented SAUC'!J$99*#REF!+IF(#REF!&gt;0,'Segmented SAUC'!J$102)+'Segmented SAUC'!J$103*#REF!+IF(#REF!&gt;0,'Segmented SAUC'!J$106)+'Segmented SAUC'!J$107*#REF!</f>
        <v>#REF!</v>
      </c>
      <c r="K166" s="289" t="e">
        <f>IF(#REF!&gt;0,'Segmented SAUC'!K$98)+'Segmented SAUC'!K$99*#REF!+IF(#REF!&gt;0,'Segmented SAUC'!K$102)+'Segmented SAUC'!K$103*#REF!+IF(#REF!&gt;0,'Segmented SAUC'!K$106)+'Segmented SAUC'!K$107*#REF!</f>
        <v>#REF!</v>
      </c>
      <c r="L166" s="289" t="e">
        <f>IF(#REF!&gt;0,'Segmented SAUC'!L$98)+'Segmented SAUC'!L$99*#REF!+IF(#REF!&gt;0,'Segmented SAUC'!L$102)+'Segmented SAUC'!L$103*#REF!+IF(#REF!&gt;0,'Segmented SAUC'!L$106)+'Segmented SAUC'!L$107*#REF!</f>
        <v>#REF!</v>
      </c>
      <c r="M166" s="289" t="e">
        <f>IF(#REF!&gt;0,'Segmented SAUC'!M$98)+'Segmented SAUC'!M$99*#REF!+IF(#REF!&gt;0,'Segmented SAUC'!M$102)+'Segmented SAUC'!M$103*#REF!+IF(#REF!&gt;0,'Segmented SAUC'!M$106)+'Segmented SAUC'!M$107*#REF!</f>
        <v>#REF!</v>
      </c>
      <c r="N166" s="289" t="e">
        <f>IF(#REF!&gt;0,'Segmented SAUC'!N$98)+'Segmented SAUC'!N$99*#REF!+IF(#REF!&gt;0,'Segmented SAUC'!N$102)+'Segmented SAUC'!N$103*#REF!+IF(#REF!&gt;0,'Segmented SAUC'!N$106)+'Segmented SAUC'!N$107*#REF!</f>
        <v>#REF!</v>
      </c>
      <c r="O166" s="289" t="e">
        <f>IF(#REF!&gt;0,'Segmented SAUC'!O$98)+'Segmented SAUC'!O$99*#REF!+IF(#REF!&gt;0,'Segmented SAUC'!O$102)+'Segmented SAUC'!O$103*#REF!+IF(#REF!&gt;0,'Segmented SAUC'!O$106)+'Segmented SAUC'!O$107*#REF!</f>
        <v>#REF!</v>
      </c>
      <c r="P166" s="289" t="e">
        <f>IF(#REF!&gt;0,'Segmented SAUC'!P$98)+'Segmented SAUC'!P$99*#REF!+IF(#REF!&gt;0,'Segmented SAUC'!P$102)+'Segmented SAUC'!P$103*#REF!+IF(#REF!&gt;0,'Segmented SAUC'!P$106)+'Segmented SAUC'!P$107*#REF!</f>
        <v>#REF!</v>
      </c>
      <c r="Q166" s="289" t="e">
        <f>IF(#REF!&gt;0,'Segmented SAUC'!Q$98)+'Segmented SAUC'!Q$99*#REF!+IF(#REF!&gt;0,'Segmented SAUC'!Q$102)+'Segmented SAUC'!Q$103*#REF!+IF(#REF!&gt;0,'Segmented SAUC'!Q$106)+'Segmented SAUC'!Q$107*#REF!</f>
        <v>#REF!</v>
      </c>
      <c r="R166" s="289" t="e">
        <f>IF(#REF!&gt;0,'Segmented SAUC'!R$98)+'Segmented SAUC'!R$99*#REF!+IF(#REF!&gt;0,'Segmented SAUC'!R$102)+'Segmented SAUC'!R$103*#REF!+IF(#REF!&gt;0,'Segmented SAUC'!R$106)+'Segmented SAUC'!R$107*#REF!</f>
        <v>#REF!</v>
      </c>
    </row>
    <row r="167" spans="1:18">
      <c r="A167" s="261" t="e">
        <f>#REF!</f>
        <v>#REF!</v>
      </c>
      <c r="B167" s="289"/>
      <c r="C167" s="289" t="e">
        <f>IF(#REF!&gt;0,'Segmented SAUC'!C$98)+'Segmented SAUC'!C$99*#REF!+IF(#REF!&gt;0,'Segmented SAUC'!C$102)+'Segmented SAUC'!C$103*#REF!+IF(#REF!&gt;0,'Segmented SAUC'!C$106)+'Segmented SAUC'!C$107*#REF!</f>
        <v>#REF!</v>
      </c>
      <c r="D167" s="289" t="e">
        <f>IF(#REF!&gt;0,'Segmented SAUC'!D$98)+'Segmented SAUC'!D$99*#REF!+IF(#REF!&gt;0,'Segmented SAUC'!D$102)+'Segmented SAUC'!D$103*#REF!+IF(#REF!&gt;0,'Segmented SAUC'!D$106)+'Segmented SAUC'!D$107*#REF!</f>
        <v>#REF!</v>
      </c>
      <c r="E167" s="289" t="e">
        <f>IF(#REF!&gt;0,'Segmented SAUC'!E$98)+'Segmented SAUC'!E$99*#REF!+IF(#REF!&gt;0,'Segmented SAUC'!E$102)+'Segmented SAUC'!E$103*#REF!+IF(#REF!&gt;0,'Segmented SAUC'!E$106)+'Segmented SAUC'!E$107*#REF!</f>
        <v>#REF!</v>
      </c>
      <c r="F167" s="289" t="e">
        <f>IF(#REF!&gt;0,'Segmented SAUC'!F$98)+'Segmented SAUC'!F$99*#REF!+IF(#REF!&gt;0,'Segmented SAUC'!F$102)+'Segmented SAUC'!F$103*#REF!+IF(#REF!&gt;0,'Segmented SAUC'!F$106)+'Segmented SAUC'!F$107*#REF!</f>
        <v>#REF!</v>
      </c>
      <c r="G167" s="289" t="e">
        <f>IF(#REF!&gt;0,'Segmented SAUC'!G$98)+'Segmented SAUC'!G$99*#REF!+IF(#REF!&gt;0,'Segmented SAUC'!G$102)+'Segmented SAUC'!G$103*#REF!+IF(#REF!&gt;0,'Segmented SAUC'!G$106)+'Segmented SAUC'!G$107*#REF!</f>
        <v>#REF!</v>
      </c>
      <c r="H167" s="289" t="e">
        <f>IF(#REF!&gt;0,'Segmented SAUC'!H$98)+'Segmented SAUC'!H$99*#REF!+IF(#REF!&gt;0,'Segmented SAUC'!H$102)+'Segmented SAUC'!H$103*#REF!+IF(#REF!&gt;0,'Segmented SAUC'!H$106)+'Segmented SAUC'!H$107*#REF!</f>
        <v>#REF!</v>
      </c>
      <c r="I167" s="290" t="e">
        <f>IF(#REF!&gt;0,'Segmented SAUC'!I$98)+'Segmented SAUC'!I$99*#REF!+IF(#REF!&gt;0,'Segmented SAUC'!I$102)+'Segmented SAUC'!I$103*#REF!+IF(#REF!&gt;0,'Segmented SAUC'!I$106)+'Segmented SAUC'!I$107*#REF!</f>
        <v>#REF!</v>
      </c>
      <c r="J167" s="289" t="e">
        <f>IF(#REF!&gt;0,'Segmented SAUC'!J$98)+'Segmented SAUC'!J$99*#REF!+IF(#REF!&gt;0,'Segmented SAUC'!J$102)+'Segmented SAUC'!J$103*#REF!+IF(#REF!&gt;0,'Segmented SAUC'!J$106)+'Segmented SAUC'!J$107*#REF!</f>
        <v>#REF!</v>
      </c>
      <c r="K167" s="289" t="e">
        <f>IF(#REF!&gt;0,'Segmented SAUC'!K$98)+'Segmented SAUC'!K$99*#REF!+IF(#REF!&gt;0,'Segmented SAUC'!K$102)+'Segmented SAUC'!K$103*#REF!+IF(#REF!&gt;0,'Segmented SAUC'!K$106)+'Segmented SAUC'!K$107*#REF!</f>
        <v>#REF!</v>
      </c>
      <c r="L167" s="289" t="e">
        <f>IF(#REF!&gt;0,'Segmented SAUC'!L$98)+'Segmented SAUC'!L$99*#REF!+IF(#REF!&gt;0,'Segmented SAUC'!L$102)+'Segmented SAUC'!L$103*#REF!+IF(#REF!&gt;0,'Segmented SAUC'!L$106)+'Segmented SAUC'!L$107*#REF!</f>
        <v>#REF!</v>
      </c>
      <c r="M167" s="289" t="e">
        <f>IF(#REF!&gt;0,'Segmented SAUC'!M$98)+'Segmented SAUC'!M$99*#REF!+IF(#REF!&gt;0,'Segmented SAUC'!M$102)+'Segmented SAUC'!M$103*#REF!+IF(#REF!&gt;0,'Segmented SAUC'!M$106)+'Segmented SAUC'!M$107*#REF!</f>
        <v>#REF!</v>
      </c>
      <c r="N167" s="289" t="e">
        <f>IF(#REF!&gt;0,'Segmented SAUC'!N$98)+'Segmented SAUC'!N$99*#REF!+IF(#REF!&gt;0,'Segmented SAUC'!N$102)+'Segmented SAUC'!N$103*#REF!+IF(#REF!&gt;0,'Segmented SAUC'!N$106)+'Segmented SAUC'!N$107*#REF!</f>
        <v>#REF!</v>
      </c>
      <c r="O167" s="289" t="e">
        <f>IF(#REF!&gt;0,'Segmented SAUC'!O$98)+'Segmented SAUC'!O$99*#REF!+IF(#REF!&gt;0,'Segmented SAUC'!O$102)+'Segmented SAUC'!O$103*#REF!+IF(#REF!&gt;0,'Segmented SAUC'!O$106)+'Segmented SAUC'!O$107*#REF!</f>
        <v>#REF!</v>
      </c>
      <c r="P167" s="289" t="e">
        <f>IF(#REF!&gt;0,'Segmented SAUC'!P$98)+'Segmented SAUC'!P$99*#REF!+IF(#REF!&gt;0,'Segmented SAUC'!P$102)+'Segmented SAUC'!P$103*#REF!+IF(#REF!&gt;0,'Segmented SAUC'!P$106)+'Segmented SAUC'!P$107*#REF!</f>
        <v>#REF!</v>
      </c>
      <c r="Q167" s="289" t="e">
        <f>IF(#REF!&gt;0,'Segmented SAUC'!Q$98)+'Segmented SAUC'!Q$99*#REF!+IF(#REF!&gt;0,'Segmented SAUC'!Q$102)+'Segmented SAUC'!Q$103*#REF!+IF(#REF!&gt;0,'Segmented SAUC'!Q$106)+'Segmented SAUC'!Q$107*#REF!</f>
        <v>#REF!</v>
      </c>
      <c r="R167" s="289" t="e">
        <f>IF(#REF!&gt;0,'Segmented SAUC'!R$98)+'Segmented SAUC'!R$99*#REF!+IF(#REF!&gt;0,'Segmented SAUC'!R$102)+'Segmented SAUC'!R$103*#REF!+IF(#REF!&gt;0,'Segmented SAUC'!R$106)+'Segmented SAUC'!R$107*#REF!</f>
        <v>#REF!</v>
      </c>
    </row>
    <row r="168" spans="1:18">
      <c r="A168" s="261" t="e">
        <f>#REF!</f>
        <v>#REF!</v>
      </c>
      <c r="B168" s="289"/>
      <c r="C168" s="289" t="e">
        <f>IF(#REF!&gt;0,'Segmented SAUC'!C$98)+'Segmented SAUC'!C$99*#REF!+IF(#REF!&gt;0,'Segmented SAUC'!C$102)+'Segmented SAUC'!C$103*#REF!+IF(#REF!&gt;0,'Segmented SAUC'!C$106)+'Segmented SAUC'!C$107*#REF!</f>
        <v>#REF!</v>
      </c>
      <c r="D168" s="289" t="e">
        <f>IF(#REF!&gt;0,'Segmented SAUC'!D$98)+'Segmented SAUC'!D$99*#REF!+IF(#REF!&gt;0,'Segmented SAUC'!D$102)+'Segmented SAUC'!D$103*#REF!+IF(#REF!&gt;0,'Segmented SAUC'!D$106)+'Segmented SAUC'!D$107*#REF!</f>
        <v>#REF!</v>
      </c>
      <c r="E168" s="289" t="e">
        <f>IF(#REF!&gt;0,'Segmented SAUC'!E$98)+'Segmented SAUC'!E$99*#REF!+IF(#REF!&gt;0,'Segmented SAUC'!E$102)+'Segmented SAUC'!E$103*#REF!+IF(#REF!&gt;0,'Segmented SAUC'!E$106)+'Segmented SAUC'!E$107*#REF!</f>
        <v>#REF!</v>
      </c>
      <c r="F168" s="289" t="e">
        <f>IF(#REF!&gt;0,'Segmented SAUC'!F$98)+'Segmented SAUC'!F$99*#REF!+IF(#REF!&gt;0,'Segmented SAUC'!F$102)+'Segmented SAUC'!F$103*#REF!+IF(#REF!&gt;0,'Segmented SAUC'!F$106)+'Segmented SAUC'!F$107*#REF!</f>
        <v>#REF!</v>
      </c>
      <c r="G168" s="289" t="e">
        <f>IF(#REF!&gt;0,'Segmented SAUC'!G$98)+'Segmented SAUC'!G$99*#REF!+IF(#REF!&gt;0,'Segmented SAUC'!G$102)+'Segmented SAUC'!G$103*#REF!+IF(#REF!&gt;0,'Segmented SAUC'!G$106)+'Segmented SAUC'!G$107*#REF!</f>
        <v>#REF!</v>
      </c>
      <c r="H168" s="289" t="e">
        <f>IF(#REF!&gt;0,'Segmented SAUC'!H$98)+'Segmented SAUC'!H$99*#REF!+IF(#REF!&gt;0,'Segmented SAUC'!H$102)+'Segmented SAUC'!H$103*#REF!+IF(#REF!&gt;0,'Segmented SAUC'!H$106)+'Segmented SAUC'!H$107*#REF!</f>
        <v>#REF!</v>
      </c>
      <c r="I168" s="290" t="e">
        <f>IF(#REF!&gt;0,'Segmented SAUC'!I$98)+'Segmented SAUC'!I$99*#REF!+IF(#REF!&gt;0,'Segmented SAUC'!I$102)+'Segmented SAUC'!I$103*#REF!+IF(#REF!&gt;0,'Segmented SAUC'!I$106)+'Segmented SAUC'!I$107*#REF!</f>
        <v>#REF!</v>
      </c>
      <c r="J168" s="289" t="e">
        <f>IF(#REF!&gt;0,'Segmented SAUC'!J$98)+'Segmented SAUC'!J$99*#REF!+IF(#REF!&gt;0,'Segmented SAUC'!J$102)+'Segmented SAUC'!J$103*#REF!+IF(#REF!&gt;0,'Segmented SAUC'!J$106)+'Segmented SAUC'!J$107*#REF!</f>
        <v>#REF!</v>
      </c>
      <c r="K168" s="289" t="e">
        <f>IF(#REF!&gt;0,'Segmented SAUC'!K$98)+'Segmented SAUC'!K$99*#REF!+IF(#REF!&gt;0,'Segmented SAUC'!K$102)+'Segmented SAUC'!K$103*#REF!+IF(#REF!&gt;0,'Segmented SAUC'!K$106)+'Segmented SAUC'!K$107*#REF!</f>
        <v>#REF!</v>
      </c>
      <c r="L168" s="289" t="e">
        <f>IF(#REF!&gt;0,'Segmented SAUC'!L$98)+'Segmented SAUC'!L$99*#REF!+IF(#REF!&gt;0,'Segmented SAUC'!L$102)+'Segmented SAUC'!L$103*#REF!+IF(#REF!&gt;0,'Segmented SAUC'!L$106)+'Segmented SAUC'!L$107*#REF!</f>
        <v>#REF!</v>
      </c>
      <c r="M168" s="289" t="e">
        <f>IF(#REF!&gt;0,'Segmented SAUC'!M$98)+'Segmented SAUC'!M$99*#REF!+IF(#REF!&gt;0,'Segmented SAUC'!M$102)+'Segmented SAUC'!M$103*#REF!+IF(#REF!&gt;0,'Segmented SAUC'!M$106)+'Segmented SAUC'!M$107*#REF!</f>
        <v>#REF!</v>
      </c>
      <c r="N168" s="289" t="e">
        <f>IF(#REF!&gt;0,'Segmented SAUC'!N$98)+'Segmented SAUC'!N$99*#REF!+IF(#REF!&gt;0,'Segmented SAUC'!N$102)+'Segmented SAUC'!N$103*#REF!+IF(#REF!&gt;0,'Segmented SAUC'!N$106)+'Segmented SAUC'!N$107*#REF!</f>
        <v>#REF!</v>
      </c>
      <c r="O168" s="289" t="e">
        <f>IF(#REF!&gt;0,'Segmented SAUC'!O$98)+'Segmented SAUC'!O$99*#REF!+IF(#REF!&gt;0,'Segmented SAUC'!O$102)+'Segmented SAUC'!O$103*#REF!+IF(#REF!&gt;0,'Segmented SAUC'!O$106)+'Segmented SAUC'!O$107*#REF!</f>
        <v>#REF!</v>
      </c>
      <c r="P168" s="289" t="e">
        <f>IF(#REF!&gt;0,'Segmented SAUC'!P$98)+'Segmented SAUC'!P$99*#REF!+IF(#REF!&gt;0,'Segmented SAUC'!P$102)+'Segmented SAUC'!P$103*#REF!+IF(#REF!&gt;0,'Segmented SAUC'!P$106)+'Segmented SAUC'!P$107*#REF!</f>
        <v>#REF!</v>
      </c>
      <c r="Q168" s="289" t="e">
        <f>IF(#REF!&gt;0,'Segmented SAUC'!Q$98)+'Segmented SAUC'!Q$99*#REF!+IF(#REF!&gt;0,'Segmented SAUC'!Q$102)+'Segmented SAUC'!Q$103*#REF!+IF(#REF!&gt;0,'Segmented SAUC'!Q$106)+'Segmented SAUC'!Q$107*#REF!</f>
        <v>#REF!</v>
      </c>
      <c r="R168" s="289" t="e">
        <f>IF(#REF!&gt;0,'Segmented SAUC'!R$98)+'Segmented SAUC'!R$99*#REF!+IF(#REF!&gt;0,'Segmented SAUC'!R$102)+'Segmented SAUC'!R$103*#REF!+IF(#REF!&gt;0,'Segmented SAUC'!R$106)+'Segmented SAUC'!R$107*#REF!</f>
        <v>#REF!</v>
      </c>
    </row>
    <row r="169" spans="1:18">
      <c r="A169" s="261" t="e">
        <f>#REF!</f>
        <v>#REF!</v>
      </c>
      <c r="B169" s="289"/>
      <c r="C169" s="289" t="e">
        <f>IF(#REF!&gt;0,'Segmented SAUC'!C$98)+'Segmented SAUC'!C$99*#REF!+IF(#REF!&gt;0,'Segmented SAUC'!C$102)+'Segmented SAUC'!C$103*#REF!+IF(#REF!&gt;0,'Segmented SAUC'!C$106)+'Segmented SAUC'!C$107*#REF!</f>
        <v>#REF!</v>
      </c>
      <c r="D169" s="289" t="e">
        <f>IF(#REF!&gt;0,'Segmented SAUC'!D$98)+'Segmented SAUC'!D$99*#REF!+IF(#REF!&gt;0,'Segmented SAUC'!D$102)+'Segmented SAUC'!D$103*#REF!+IF(#REF!&gt;0,'Segmented SAUC'!D$106)+'Segmented SAUC'!D$107*#REF!</f>
        <v>#REF!</v>
      </c>
      <c r="E169" s="289" t="e">
        <f>IF(#REF!&gt;0,'Segmented SAUC'!E$98)+'Segmented SAUC'!E$99*#REF!+IF(#REF!&gt;0,'Segmented SAUC'!E$102)+'Segmented SAUC'!E$103*#REF!+IF(#REF!&gt;0,'Segmented SAUC'!E$106)+'Segmented SAUC'!E$107*#REF!</f>
        <v>#REF!</v>
      </c>
      <c r="F169" s="289" t="e">
        <f>IF(#REF!&gt;0,'Segmented SAUC'!F$98)+'Segmented SAUC'!F$99*#REF!+IF(#REF!&gt;0,'Segmented SAUC'!F$102)+'Segmented SAUC'!F$103*#REF!+IF(#REF!&gt;0,'Segmented SAUC'!F$106)+'Segmented SAUC'!F$107*#REF!</f>
        <v>#REF!</v>
      </c>
      <c r="G169" s="289" t="e">
        <f>IF(#REF!&gt;0,'Segmented SAUC'!G$98)+'Segmented SAUC'!G$99*#REF!+IF(#REF!&gt;0,'Segmented SAUC'!G$102)+'Segmented SAUC'!G$103*#REF!+IF(#REF!&gt;0,'Segmented SAUC'!G$106)+'Segmented SAUC'!G$107*#REF!</f>
        <v>#REF!</v>
      </c>
      <c r="H169" s="289" t="e">
        <f>IF(#REF!&gt;0,'Segmented SAUC'!H$98)+'Segmented SAUC'!H$99*#REF!+IF(#REF!&gt;0,'Segmented SAUC'!H$102)+'Segmented SAUC'!H$103*#REF!+IF(#REF!&gt;0,'Segmented SAUC'!H$106)+'Segmented SAUC'!H$107*#REF!</f>
        <v>#REF!</v>
      </c>
      <c r="I169" s="290" t="e">
        <f>IF(#REF!&gt;0,'Segmented SAUC'!I$98)+'Segmented SAUC'!I$99*#REF!+IF(#REF!&gt;0,'Segmented SAUC'!I$102)+'Segmented SAUC'!I$103*#REF!+IF(#REF!&gt;0,'Segmented SAUC'!I$106)+'Segmented SAUC'!I$107*#REF!</f>
        <v>#REF!</v>
      </c>
      <c r="J169" s="289" t="e">
        <f>IF(#REF!&gt;0,'Segmented SAUC'!J$98)+'Segmented SAUC'!J$99*#REF!+IF(#REF!&gt;0,'Segmented SAUC'!J$102)+'Segmented SAUC'!J$103*#REF!+IF(#REF!&gt;0,'Segmented SAUC'!J$106)+'Segmented SAUC'!J$107*#REF!</f>
        <v>#REF!</v>
      </c>
      <c r="K169" s="289" t="e">
        <f>IF(#REF!&gt;0,'Segmented SAUC'!K$98)+'Segmented SAUC'!K$99*#REF!+IF(#REF!&gt;0,'Segmented SAUC'!K$102)+'Segmented SAUC'!K$103*#REF!+IF(#REF!&gt;0,'Segmented SAUC'!K$106)+'Segmented SAUC'!K$107*#REF!</f>
        <v>#REF!</v>
      </c>
      <c r="L169" s="289" t="e">
        <f>IF(#REF!&gt;0,'Segmented SAUC'!L$98)+'Segmented SAUC'!L$99*#REF!+IF(#REF!&gt;0,'Segmented SAUC'!L$102)+'Segmented SAUC'!L$103*#REF!+IF(#REF!&gt;0,'Segmented SAUC'!L$106)+'Segmented SAUC'!L$107*#REF!</f>
        <v>#REF!</v>
      </c>
      <c r="M169" s="289" t="e">
        <f>IF(#REF!&gt;0,'Segmented SAUC'!M$98)+'Segmented SAUC'!M$99*#REF!+IF(#REF!&gt;0,'Segmented SAUC'!M$102)+'Segmented SAUC'!M$103*#REF!+IF(#REF!&gt;0,'Segmented SAUC'!M$106)+'Segmented SAUC'!M$107*#REF!</f>
        <v>#REF!</v>
      </c>
      <c r="N169" s="289" t="e">
        <f>IF(#REF!&gt;0,'Segmented SAUC'!N$98)+'Segmented SAUC'!N$99*#REF!+IF(#REF!&gt;0,'Segmented SAUC'!N$102)+'Segmented SAUC'!N$103*#REF!+IF(#REF!&gt;0,'Segmented SAUC'!N$106)+'Segmented SAUC'!N$107*#REF!</f>
        <v>#REF!</v>
      </c>
      <c r="O169" s="289" t="e">
        <f>IF(#REF!&gt;0,'Segmented SAUC'!O$98)+'Segmented SAUC'!O$99*#REF!+IF(#REF!&gt;0,'Segmented SAUC'!O$102)+'Segmented SAUC'!O$103*#REF!+IF(#REF!&gt;0,'Segmented SAUC'!O$106)+'Segmented SAUC'!O$107*#REF!</f>
        <v>#REF!</v>
      </c>
      <c r="P169" s="289" t="e">
        <f>IF(#REF!&gt;0,'Segmented SAUC'!P$98)+'Segmented SAUC'!P$99*#REF!+IF(#REF!&gt;0,'Segmented SAUC'!P$102)+'Segmented SAUC'!P$103*#REF!+IF(#REF!&gt;0,'Segmented SAUC'!P$106)+'Segmented SAUC'!P$107*#REF!</f>
        <v>#REF!</v>
      </c>
      <c r="Q169" s="289" t="e">
        <f>IF(#REF!&gt;0,'Segmented SAUC'!Q$98)+'Segmented SAUC'!Q$99*#REF!+IF(#REF!&gt;0,'Segmented SAUC'!Q$102)+'Segmented SAUC'!Q$103*#REF!+IF(#REF!&gt;0,'Segmented SAUC'!Q$106)+'Segmented SAUC'!Q$107*#REF!</f>
        <v>#REF!</v>
      </c>
      <c r="R169" s="289" t="e">
        <f>IF(#REF!&gt;0,'Segmented SAUC'!R$98)+'Segmented SAUC'!R$99*#REF!+IF(#REF!&gt;0,'Segmented SAUC'!R$102)+'Segmented SAUC'!R$103*#REF!+IF(#REF!&gt;0,'Segmented SAUC'!R$106)+'Segmented SAUC'!R$107*#REF!</f>
        <v>#REF!</v>
      </c>
    </row>
    <row r="170" spans="1:18">
      <c r="A170" s="261" t="e">
        <f>#REF!</f>
        <v>#REF!</v>
      </c>
      <c r="B170" s="289"/>
      <c r="C170" s="289" t="e">
        <f>IF(#REF!&gt;0,'Segmented SAUC'!C$98)+'Segmented SAUC'!C$99*#REF!+IF(#REF!&gt;0,'Segmented SAUC'!C$102)+'Segmented SAUC'!C$103*#REF!+IF(#REF!&gt;0,'Segmented SAUC'!C$106)+'Segmented SAUC'!C$107*#REF!</f>
        <v>#REF!</v>
      </c>
      <c r="D170" s="289" t="e">
        <f>IF(#REF!&gt;0,'Segmented SAUC'!D$98)+'Segmented SAUC'!D$99*#REF!+IF(#REF!&gt;0,'Segmented SAUC'!D$102)+'Segmented SAUC'!D$103*#REF!+IF(#REF!&gt;0,'Segmented SAUC'!D$106)+'Segmented SAUC'!D$107*#REF!</f>
        <v>#REF!</v>
      </c>
      <c r="E170" s="289" t="e">
        <f>IF(#REF!&gt;0,'Segmented SAUC'!E$98)+'Segmented SAUC'!E$99*#REF!+IF(#REF!&gt;0,'Segmented SAUC'!E$102)+'Segmented SAUC'!E$103*#REF!+IF(#REF!&gt;0,'Segmented SAUC'!E$106)+'Segmented SAUC'!E$107*#REF!</f>
        <v>#REF!</v>
      </c>
      <c r="F170" s="289" t="e">
        <f>IF(#REF!&gt;0,'Segmented SAUC'!F$98)+'Segmented SAUC'!F$99*#REF!+IF(#REF!&gt;0,'Segmented SAUC'!F$102)+'Segmented SAUC'!F$103*#REF!+IF(#REF!&gt;0,'Segmented SAUC'!F$106)+'Segmented SAUC'!F$107*#REF!</f>
        <v>#REF!</v>
      </c>
      <c r="G170" s="289" t="e">
        <f>IF(#REF!&gt;0,'Segmented SAUC'!G$98)+'Segmented SAUC'!G$99*#REF!+IF(#REF!&gt;0,'Segmented SAUC'!G$102)+'Segmented SAUC'!G$103*#REF!+IF(#REF!&gt;0,'Segmented SAUC'!G$106)+'Segmented SAUC'!G$107*#REF!</f>
        <v>#REF!</v>
      </c>
      <c r="H170" s="289" t="e">
        <f>IF(#REF!&gt;0,'Segmented SAUC'!H$98)+'Segmented SAUC'!H$99*#REF!+IF(#REF!&gt;0,'Segmented SAUC'!H$102)+'Segmented SAUC'!H$103*#REF!+IF(#REF!&gt;0,'Segmented SAUC'!H$106)+'Segmented SAUC'!H$107*#REF!</f>
        <v>#REF!</v>
      </c>
      <c r="I170" s="290" t="e">
        <f>IF(#REF!&gt;0,'Segmented SAUC'!I$98)+'Segmented SAUC'!I$99*#REF!+IF(#REF!&gt;0,'Segmented SAUC'!I$102)+'Segmented SAUC'!I$103*#REF!+IF(#REF!&gt;0,'Segmented SAUC'!I$106)+'Segmented SAUC'!I$107*#REF!</f>
        <v>#REF!</v>
      </c>
      <c r="J170" s="289" t="e">
        <f>IF(#REF!&gt;0,'Segmented SAUC'!J$98)+'Segmented SAUC'!J$99*#REF!+IF(#REF!&gt;0,'Segmented SAUC'!J$102)+'Segmented SAUC'!J$103*#REF!+IF(#REF!&gt;0,'Segmented SAUC'!J$106)+'Segmented SAUC'!J$107*#REF!</f>
        <v>#REF!</v>
      </c>
      <c r="K170" s="289" t="e">
        <f>IF(#REF!&gt;0,'Segmented SAUC'!K$98)+'Segmented SAUC'!K$99*#REF!+IF(#REF!&gt;0,'Segmented SAUC'!K$102)+'Segmented SAUC'!K$103*#REF!+IF(#REF!&gt;0,'Segmented SAUC'!K$106)+'Segmented SAUC'!K$107*#REF!</f>
        <v>#REF!</v>
      </c>
      <c r="L170" s="289" t="e">
        <f>IF(#REF!&gt;0,'Segmented SAUC'!L$98)+'Segmented SAUC'!L$99*#REF!+IF(#REF!&gt;0,'Segmented SAUC'!L$102)+'Segmented SAUC'!L$103*#REF!+IF(#REF!&gt;0,'Segmented SAUC'!L$106)+'Segmented SAUC'!L$107*#REF!</f>
        <v>#REF!</v>
      </c>
      <c r="M170" s="289" t="e">
        <f>IF(#REF!&gt;0,'Segmented SAUC'!M$98)+'Segmented SAUC'!M$99*#REF!+IF(#REF!&gt;0,'Segmented SAUC'!M$102)+'Segmented SAUC'!M$103*#REF!+IF(#REF!&gt;0,'Segmented SAUC'!M$106)+'Segmented SAUC'!M$107*#REF!</f>
        <v>#REF!</v>
      </c>
      <c r="N170" s="289" t="e">
        <f>IF(#REF!&gt;0,'Segmented SAUC'!N$98)+'Segmented SAUC'!N$99*#REF!+IF(#REF!&gt;0,'Segmented SAUC'!N$102)+'Segmented SAUC'!N$103*#REF!+IF(#REF!&gt;0,'Segmented SAUC'!N$106)+'Segmented SAUC'!N$107*#REF!</f>
        <v>#REF!</v>
      </c>
      <c r="O170" s="289" t="e">
        <f>IF(#REF!&gt;0,'Segmented SAUC'!O$98)+'Segmented SAUC'!O$99*#REF!+IF(#REF!&gt;0,'Segmented SAUC'!O$102)+'Segmented SAUC'!O$103*#REF!+IF(#REF!&gt;0,'Segmented SAUC'!O$106)+'Segmented SAUC'!O$107*#REF!</f>
        <v>#REF!</v>
      </c>
      <c r="P170" s="289" t="e">
        <f>IF(#REF!&gt;0,'Segmented SAUC'!P$98)+'Segmented SAUC'!P$99*#REF!+IF(#REF!&gt;0,'Segmented SAUC'!P$102)+'Segmented SAUC'!P$103*#REF!+IF(#REF!&gt;0,'Segmented SAUC'!P$106)+'Segmented SAUC'!P$107*#REF!</f>
        <v>#REF!</v>
      </c>
      <c r="Q170" s="289" t="e">
        <f>IF(#REF!&gt;0,'Segmented SAUC'!Q$98)+'Segmented SAUC'!Q$99*#REF!+IF(#REF!&gt;0,'Segmented SAUC'!Q$102)+'Segmented SAUC'!Q$103*#REF!+IF(#REF!&gt;0,'Segmented SAUC'!Q$106)+'Segmented SAUC'!Q$107*#REF!</f>
        <v>#REF!</v>
      </c>
      <c r="R170" s="289" t="e">
        <f>IF(#REF!&gt;0,'Segmented SAUC'!R$98)+'Segmented SAUC'!R$99*#REF!+IF(#REF!&gt;0,'Segmented SAUC'!R$102)+'Segmented SAUC'!R$103*#REF!+IF(#REF!&gt;0,'Segmented SAUC'!R$106)+'Segmented SAUC'!R$107*#REF!</f>
        <v>#REF!</v>
      </c>
    </row>
    <row r="171" spans="1:18">
      <c r="A171" s="261" t="e">
        <f>#REF!</f>
        <v>#REF!</v>
      </c>
      <c r="B171" s="289"/>
      <c r="C171" s="289" t="e">
        <f>IF(#REF!&gt;0,'Segmented SAUC'!C$98)+'Segmented SAUC'!C$99*#REF!+IF(#REF!&gt;0,'Segmented SAUC'!C$102)+'Segmented SAUC'!C$103*#REF!+IF(#REF!&gt;0,'Segmented SAUC'!C$106)+'Segmented SAUC'!C$107*#REF!</f>
        <v>#REF!</v>
      </c>
      <c r="D171" s="289" t="e">
        <f>IF(#REF!&gt;0,'Segmented SAUC'!D$98)+'Segmented SAUC'!D$99*#REF!+IF(#REF!&gt;0,'Segmented SAUC'!D$102)+'Segmented SAUC'!D$103*#REF!+IF(#REF!&gt;0,'Segmented SAUC'!D$106)+'Segmented SAUC'!D$107*#REF!</f>
        <v>#REF!</v>
      </c>
      <c r="E171" s="289" t="e">
        <f>IF(#REF!&gt;0,'Segmented SAUC'!E$98)+'Segmented SAUC'!E$99*#REF!+IF(#REF!&gt;0,'Segmented SAUC'!E$102)+'Segmented SAUC'!E$103*#REF!+IF(#REF!&gt;0,'Segmented SAUC'!E$106)+'Segmented SAUC'!E$107*#REF!</f>
        <v>#REF!</v>
      </c>
      <c r="F171" s="289" t="e">
        <f>IF(#REF!&gt;0,'Segmented SAUC'!F$98)+'Segmented SAUC'!F$99*#REF!+IF(#REF!&gt;0,'Segmented SAUC'!F$102)+'Segmented SAUC'!F$103*#REF!+IF(#REF!&gt;0,'Segmented SAUC'!F$106)+'Segmented SAUC'!F$107*#REF!</f>
        <v>#REF!</v>
      </c>
      <c r="G171" s="289" t="e">
        <f>IF(#REF!&gt;0,'Segmented SAUC'!G$98)+'Segmented SAUC'!G$99*#REF!+IF(#REF!&gt;0,'Segmented SAUC'!G$102)+'Segmented SAUC'!G$103*#REF!+IF(#REF!&gt;0,'Segmented SAUC'!G$106)+'Segmented SAUC'!G$107*#REF!</f>
        <v>#REF!</v>
      </c>
      <c r="H171" s="289" t="e">
        <f>IF(#REF!&gt;0,'Segmented SAUC'!H$98)+'Segmented SAUC'!H$99*#REF!+IF(#REF!&gt;0,'Segmented SAUC'!H$102)+'Segmented SAUC'!H$103*#REF!+IF(#REF!&gt;0,'Segmented SAUC'!H$106)+'Segmented SAUC'!H$107*#REF!</f>
        <v>#REF!</v>
      </c>
      <c r="I171" s="290" t="e">
        <f>IF(#REF!&gt;0,'Segmented SAUC'!I$98)+'Segmented SAUC'!I$99*#REF!+IF(#REF!&gt;0,'Segmented SAUC'!I$102)+'Segmented SAUC'!I$103*#REF!+IF(#REF!&gt;0,'Segmented SAUC'!I$106)+'Segmented SAUC'!I$107*#REF!</f>
        <v>#REF!</v>
      </c>
      <c r="J171" s="289" t="e">
        <f>IF(#REF!&gt;0,'Segmented SAUC'!J$98)+'Segmented SAUC'!J$99*#REF!+IF(#REF!&gt;0,'Segmented SAUC'!J$102)+'Segmented SAUC'!J$103*#REF!+IF(#REF!&gt;0,'Segmented SAUC'!J$106)+'Segmented SAUC'!J$107*#REF!</f>
        <v>#REF!</v>
      </c>
      <c r="K171" s="289" t="e">
        <f>IF(#REF!&gt;0,'Segmented SAUC'!K$98)+'Segmented SAUC'!K$99*#REF!+IF(#REF!&gt;0,'Segmented SAUC'!K$102)+'Segmented SAUC'!K$103*#REF!+IF(#REF!&gt;0,'Segmented SAUC'!K$106)+'Segmented SAUC'!K$107*#REF!</f>
        <v>#REF!</v>
      </c>
      <c r="L171" s="289" t="e">
        <f>IF(#REF!&gt;0,'Segmented SAUC'!L$98)+'Segmented SAUC'!L$99*#REF!+IF(#REF!&gt;0,'Segmented SAUC'!L$102)+'Segmented SAUC'!L$103*#REF!+IF(#REF!&gt;0,'Segmented SAUC'!L$106)+'Segmented SAUC'!L$107*#REF!</f>
        <v>#REF!</v>
      </c>
      <c r="M171" s="289" t="e">
        <f>IF(#REF!&gt;0,'Segmented SAUC'!M$98)+'Segmented SAUC'!M$99*#REF!+IF(#REF!&gt;0,'Segmented SAUC'!M$102)+'Segmented SAUC'!M$103*#REF!+IF(#REF!&gt;0,'Segmented SAUC'!M$106)+'Segmented SAUC'!M$107*#REF!</f>
        <v>#REF!</v>
      </c>
      <c r="N171" s="289" t="e">
        <f>IF(#REF!&gt;0,'Segmented SAUC'!N$98)+'Segmented SAUC'!N$99*#REF!+IF(#REF!&gt;0,'Segmented SAUC'!N$102)+'Segmented SAUC'!N$103*#REF!+IF(#REF!&gt;0,'Segmented SAUC'!N$106)+'Segmented SAUC'!N$107*#REF!</f>
        <v>#REF!</v>
      </c>
      <c r="O171" s="289" t="e">
        <f>IF(#REF!&gt;0,'Segmented SAUC'!O$98)+'Segmented SAUC'!O$99*#REF!+IF(#REF!&gt;0,'Segmented SAUC'!O$102)+'Segmented SAUC'!O$103*#REF!+IF(#REF!&gt;0,'Segmented SAUC'!O$106)+'Segmented SAUC'!O$107*#REF!</f>
        <v>#REF!</v>
      </c>
      <c r="P171" s="289" t="e">
        <f>IF(#REF!&gt;0,'Segmented SAUC'!P$98)+'Segmented SAUC'!P$99*#REF!+IF(#REF!&gt;0,'Segmented SAUC'!P$102)+'Segmented SAUC'!P$103*#REF!+IF(#REF!&gt;0,'Segmented SAUC'!P$106)+'Segmented SAUC'!P$107*#REF!</f>
        <v>#REF!</v>
      </c>
      <c r="Q171" s="289" t="e">
        <f>IF(#REF!&gt;0,'Segmented SAUC'!Q$98)+'Segmented SAUC'!Q$99*#REF!+IF(#REF!&gt;0,'Segmented SAUC'!Q$102)+'Segmented SAUC'!Q$103*#REF!+IF(#REF!&gt;0,'Segmented SAUC'!Q$106)+'Segmented SAUC'!Q$107*#REF!</f>
        <v>#REF!</v>
      </c>
      <c r="R171" s="289" t="e">
        <f>IF(#REF!&gt;0,'Segmented SAUC'!R$98)+'Segmented SAUC'!R$99*#REF!+IF(#REF!&gt;0,'Segmented SAUC'!R$102)+'Segmented SAUC'!R$103*#REF!+IF(#REF!&gt;0,'Segmented SAUC'!R$106)+'Segmented SAUC'!R$107*#REF!</f>
        <v>#REF!</v>
      </c>
    </row>
    <row r="172" spans="1:18">
      <c r="A172" s="261" t="e">
        <f>#REF!</f>
        <v>#REF!</v>
      </c>
      <c r="B172" s="289"/>
      <c r="C172" s="289" t="e">
        <f>IF(#REF!&gt;0,'Segmented SAUC'!C$98)+'Segmented SAUC'!C$99*#REF!+IF(#REF!&gt;0,'Segmented SAUC'!C$102)+'Segmented SAUC'!C$103*#REF!+IF(#REF!&gt;0,'Segmented SAUC'!C$106)+'Segmented SAUC'!C$107*#REF!</f>
        <v>#REF!</v>
      </c>
      <c r="D172" s="289" t="e">
        <f>IF(#REF!&gt;0,'Segmented SAUC'!D$98)+'Segmented SAUC'!D$99*#REF!+IF(#REF!&gt;0,'Segmented SAUC'!D$102)+'Segmented SAUC'!D$103*#REF!+IF(#REF!&gt;0,'Segmented SAUC'!D$106)+'Segmented SAUC'!D$107*#REF!</f>
        <v>#REF!</v>
      </c>
      <c r="E172" s="289" t="e">
        <f>IF(#REF!&gt;0,'Segmented SAUC'!E$98)+'Segmented SAUC'!E$99*#REF!+IF(#REF!&gt;0,'Segmented SAUC'!E$102)+'Segmented SAUC'!E$103*#REF!+IF(#REF!&gt;0,'Segmented SAUC'!E$106)+'Segmented SAUC'!E$107*#REF!</f>
        <v>#REF!</v>
      </c>
      <c r="F172" s="289" t="e">
        <f>IF(#REF!&gt;0,'Segmented SAUC'!F$98)+'Segmented SAUC'!F$99*#REF!+IF(#REF!&gt;0,'Segmented SAUC'!F$102)+'Segmented SAUC'!F$103*#REF!+IF(#REF!&gt;0,'Segmented SAUC'!F$106)+'Segmented SAUC'!F$107*#REF!</f>
        <v>#REF!</v>
      </c>
      <c r="G172" s="289" t="e">
        <f>IF(#REF!&gt;0,'Segmented SAUC'!G$98)+'Segmented SAUC'!G$99*#REF!+IF(#REF!&gt;0,'Segmented SAUC'!G$102)+'Segmented SAUC'!G$103*#REF!+IF(#REF!&gt;0,'Segmented SAUC'!G$106)+'Segmented SAUC'!G$107*#REF!</f>
        <v>#REF!</v>
      </c>
      <c r="H172" s="289" t="e">
        <f>IF(#REF!&gt;0,'Segmented SAUC'!H$98)+'Segmented SAUC'!H$99*#REF!+IF(#REF!&gt;0,'Segmented SAUC'!H$102)+'Segmented SAUC'!H$103*#REF!+IF(#REF!&gt;0,'Segmented SAUC'!H$106)+'Segmented SAUC'!H$107*#REF!</f>
        <v>#REF!</v>
      </c>
      <c r="I172" s="290" t="e">
        <f>IF(#REF!&gt;0,'Segmented SAUC'!I$98)+'Segmented SAUC'!I$99*#REF!+IF(#REF!&gt;0,'Segmented SAUC'!I$102)+'Segmented SAUC'!I$103*#REF!+IF(#REF!&gt;0,'Segmented SAUC'!I$106)+'Segmented SAUC'!I$107*#REF!</f>
        <v>#REF!</v>
      </c>
      <c r="J172" s="289" t="e">
        <f>IF(#REF!&gt;0,'Segmented SAUC'!J$98)+'Segmented SAUC'!J$99*#REF!+IF(#REF!&gt;0,'Segmented SAUC'!J$102)+'Segmented SAUC'!J$103*#REF!+IF(#REF!&gt;0,'Segmented SAUC'!J$106)+'Segmented SAUC'!J$107*#REF!</f>
        <v>#REF!</v>
      </c>
      <c r="K172" s="289" t="e">
        <f>IF(#REF!&gt;0,'Segmented SAUC'!K$98)+'Segmented SAUC'!K$99*#REF!+IF(#REF!&gt;0,'Segmented SAUC'!K$102)+'Segmented SAUC'!K$103*#REF!+IF(#REF!&gt;0,'Segmented SAUC'!K$106)+'Segmented SAUC'!K$107*#REF!</f>
        <v>#REF!</v>
      </c>
      <c r="L172" s="289" t="e">
        <f>IF(#REF!&gt;0,'Segmented SAUC'!L$98)+'Segmented SAUC'!L$99*#REF!+IF(#REF!&gt;0,'Segmented SAUC'!L$102)+'Segmented SAUC'!L$103*#REF!+IF(#REF!&gt;0,'Segmented SAUC'!L$106)+'Segmented SAUC'!L$107*#REF!</f>
        <v>#REF!</v>
      </c>
      <c r="M172" s="289" t="e">
        <f>IF(#REF!&gt;0,'Segmented SAUC'!M$98)+'Segmented SAUC'!M$99*#REF!+IF(#REF!&gt;0,'Segmented SAUC'!M$102)+'Segmented SAUC'!M$103*#REF!+IF(#REF!&gt;0,'Segmented SAUC'!M$106)+'Segmented SAUC'!M$107*#REF!</f>
        <v>#REF!</v>
      </c>
      <c r="N172" s="289" t="e">
        <f>IF(#REF!&gt;0,'Segmented SAUC'!N$98)+'Segmented SAUC'!N$99*#REF!+IF(#REF!&gt;0,'Segmented SAUC'!N$102)+'Segmented SAUC'!N$103*#REF!+IF(#REF!&gt;0,'Segmented SAUC'!N$106)+'Segmented SAUC'!N$107*#REF!</f>
        <v>#REF!</v>
      </c>
      <c r="O172" s="289" t="e">
        <f>IF(#REF!&gt;0,'Segmented SAUC'!O$98)+'Segmented SAUC'!O$99*#REF!+IF(#REF!&gt;0,'Segmented SAUC'!O$102)+'Segmented SAUC'!O$103*#REF!+IF(#REF!&gt;0,'Segmented SAUC'!O$106)+'Segmented SAUC'!O$107*#REF!</f>
        <v>#REF!</v>
      </c>
      <c r="P172" s="289" t="e">
        <f>IF(#REF!&gt;0,'Segmented SAUC'!P$98)+'Segmented SAUC'!P$99*#REF!+IF(#REF!&gt;0,'Segmented SAUC'!P$102)+'Segmented SAUC'!P$103*#REF!+IF(#REF!&gt;0,'Segmented SAUC'!P$106)+'Segmented SAUC'!P$107*#REF!</f>
        <v>#REF!</v>
      </c>
      <c r="Q172" s="289" t="e">
        <f>IF(#REF!&gt;0,'Segmented SAUC'!Q$98)+'Segmented SAUC'!Q$99*#REF!+IF(#REF!&gt;0,'Segmented SAUC'!Q$102)+'Segmented SAUC'!Q$103*#REF!+IF(#REF!&gt;0,'Segmented SAUC'!Q$106)+'Segmented SAUC'!Q$107*#REF!</f>
        <v>#REF!</v>
      </c>
      <c r="R172" s="289" t="e">
        <f>IF(#REF!&gt;0,'Segmented SAUC'!R$98)+'Segmented SAUC'!R$99*#REF!+IF(#REF!&gt;0,'Segmented SAUC'!R$102)+'Segmented SAUC'!R$103*#REF!+IF(#REF!&gt;0,'Segmented SAUC'!R$106)+'Segmented SAUC'!R$107*#REF!</f>
        <v>#REF!</v>
      </c>
    </row>
    <row r="173" spans="1:18">
      <c r="A173" s="261" t="e">
        <f>#REF!</f>
        <v>#REF!</v>
      </c>
      <c r="B173" s="289"/>
      <c r="C173" s="289" t="e">
        <f>IF(#REF!&gt;0,'Segmented SAUC'!C$98)+'Segmented SAUC'!C$99*#REF!+IF(#REF!&gt;0,'Segmented SAUC'!C$102)+'Segmented SAUC'!C$103*#REF!+IF(#REF!&gt;0,'Segmented SAUC'!C$106)+'Segmented SAUC'!C$107*#REF!</f>
        <v>#REF!</v>
      </c>
      <c r="D173" s="289" t="e">
        <f>IF(#REF!&gt;0,'Segmented SAUC'!D$98)+'Segmented SAUC'!D$99*#REF!+IF(#REF!&gt;0,'Segmented SAUC'!D$102)+'Segmented SAUC'!D$103*#REF!+IF(#REF!&gt;0,'Segmented SAUC'!D$106)+'Segmented SAUC'!D$107*#REF!</f>
        <v>#REF!</v>
      </c>
      <c r="E173" s="289" t="e">
        <f>IF(#REF!&gt;0,'Segmented SAUC'!E$98)+'Segmented SAUC'!E$99*#REF!+IF(#REF!&gt;0,'Segmented SAUC'!E$102)+'Segmented SAUC'!E$103*#REF!+IF(#REF!&gt;0,'Segmented SAUC'!E$106)+'Segmented SAUC'!E$107*#REF!</f>
        <v>#REF!</v>
      </c>
      <c r="F173" s="289" t="e">
        <f>IF(#REF!&gt;0,'Segmented SAUC'!F$98)+'Segmented SAUC'!F$99*#REF!+IF(#REF!&gt;0,'Segmented SAUC'!F$102)+'Segmented SAUC'!F$103*#REF!+IF(#REF!&gt;0,'Segmented SAUC'!F$106)+'Segmented SAUC'!F$107*#REF!</f>
        <v>#REF!</v>
      </c>
      <c r="G173" s="289" t="e">
        <f>IF(#REF!&gt;0,'Segmented SAUC'!G$98)+'Segmented SAUC'!G$99*#REF!+IF(#REF!&gt;0,'Segmented SAUC'!G$102)+'Segmented SAUC'!G$103*#REF!+IF(#REF!&gt;0,'Segmented SAUC'!G$106)+'Segmented SAUC'!G$107*#REF!</f>
        <v>#REF!</v>
      </c>
      <c r="H173" s="289" t="e">
        <f>IF(#REF!&gt;0,'Segmented SAUC'!H$98)+'Segmented SAUC'!H$99*#REF!+IF(#REF!&gt;0,'Segmented SAUC'!H$102)+'Segmented SAUC'!H$103*#REF!+IF(#REF!&gt;0,'Segmented SAUC'!H$106)+'Segmented SAUC'!H$107*#REF!</f>
        <v>#REF!</v>
      </c>
      <c r="I173" s="290" t="e">
        <f>IF(#REF!&gt;0,'Segmented SAUC'!I$98)+'Segmented SAUC'!I$99*#REF!+IF(#REF!&gt;0,'Segmented SAUC'!I$102)+'Segmented SAUC'!I$103*#REF!+IF(#REF!&gt;0,'Segmented SAUC'!I$106)+'Segmented SAUC'!I$107*#REF!</f>
        <v>#REF!</v>
      </c>
      <c r="J173" s="289" t="e">
        <f>IF(#REF!&gt;0,'Segmented SAUC'!J$98)+'Segmented SAUC'!J$99*#REF!+IF(#REF!&gt;0,'Segmented SAUC'!J$102)+'Segmented SAUC'!J$103*#REF!+IF(#REF!&gt;0,'Segmented SAUC'!J$106)+'Segmented SAUC'!J$107*#REF!</f>
        <v>#REF!</v>
      </c>
      <c r="K173" s="289" t="e">
        <f>IF(#REF!&gt;0,'Segmented SAUC'!K$98)+'Segmented SAUC'!K$99*#REF!+IF(#REF!&gt;0,'Segmented SAUC'!K$102)+'Segmented SAUC'!K$103*#REF!+IF(#REF!&gt;0,'Segmented SAUC'!K$106)+'Segmented SAUC'!K$107*#REF!</f>
        <v>#REF!</v>
      </c>
      <c r="L173" s="289" t="e">
        <f>IF(#REF!&gt;0,'Segmented SAUC'!L$98)+'Segmented SAUC'!L$99*#REF!+IF(#REF!&gt;0,'Segmented SAUC'!L$102)+'Segmented SAUC'!L$103*#REF!+IF(#REF!&gt;0,'Segmented SAUC'!L$106)+'Segmented SAUC'!L$107*#REF!</f>
        <v>#REF!</v>
      </c>
      <c r="M173" s="289" t="e">
        <f>IF(#REF!&gt;0,'Segmented SAUC'!M$98)+'Segmented SAUC'!M$99*#REF!+IF(#REF!&gt;0,'Segmented SAUC'!M$102)+'Segmented SAUC'!M$103*#REF!+IF(#REF!&gt;0,'Segmented SAUC'!M$106)+'Segmented SAUC'!M$107*#REF!</f>
        <v>#REF!</v>
      </c>
      <c r="N173" s="289" t="e">
        <f>IF(#REF!&gt;0,'Segmented SAUC'!N$98)+'Segmented SAUC'!N$99*#REF!+IF(#REF!&gt;0,'Segmented SAUC'!N$102)+'Segmented SAUC'!N$103*#REF!+IF(#REF!&gt;0,'Segmented SAUC'!N$106)+'Segmented SAUC'!N$107*#REF!</f>
        <v>#REF!</v>
      </c>
      <c r="O173" s="289" t="e">
        <f>IF(#REF!&gt;0,'Segmented SAUC'!O$98)+'Segmented SAUC'!O$99*#REF!+IF(#REF!&gt;0,'Segmented SAUC'!O$102)+'Segmented SAUC'!O$103*#REF!+IF(#REF!&gt;0,'Segmented SAUC'!O$106)+'Segmented SAUC'!O$107*#REF!</f>
        <v>#REF!</v>
      </c>
      <c r="P173" s="289" t="e">
        <f>IF(#REF!&gt;0,'Segmented SAUC'!P$98)+'Segmented SAUC'!P$99*#REF!+IF(#REF!&gt;0,'Segmented SAUC'!P$102)+'Segmented SAUC'!P$103*#REF!+IF(#REF!&gt;0,'Segmented SAUC'!P$106)+'Segmented SAUC'!P$107*#REF!</f>
        <v>#REF!</v>
      </c>
      <c r="Q173" s="289" t="e">
        <f>IF(#REF!&gt;0,'Segmented SAUC'!Q$98)+'Segmented SAUC'!Q$99*#REF!+IF(#REF!&gt;0,'Segmented SAUC'!Q$102)+'Segmented SAUC'!Q$103*#REF!+IF(#REF!&gt;0,'Segmented SAUC'!Q$106)+'Segmented SAUC'!Q$107*#REF!</f>
        <v>#REF!</v>
      </c>
      <c r="R173" s="289" t="e">
        <f>IF(#REF!&gt;0,'Segmented SAUC'!R$98)+'Segmented SAUC'!R$99*#REF!+IF(#REF!&gt;0,'Segmented SAUC'!R$102)+'Segmented SAUC'!R$103*#REF!+IF(#REF!&gt;0,'Segmented SAUC'!R$106)+'Segmented SAUC'!R$107*#REF!</f>
        <v>#REF!</v>
      </c>
    </row>
    <row r="174" spans="1:18">
      <c r="A174" s="261" t="e">
        <f>#REF!</f>
        <v>#REF!</v>
      </c>
      <c r="B174" s="289"/>
      <c r="C174" s="289" t="e">
        <f>IF(#REF!&gt;0,'Segmented SAUC'!C$98)+'Segmented SAUC'!C$99*#REF!+IF(#REF!&gt;0,'Segmented SAUC'!C$102)+'Segmented SAUC'!C$103*#REF!+IF(#REF!&gt;0,'Segmented SAUC'!C$106)+'Segmented SAUC'!C$107*#REF!</f>
        <v>#REF!</v>
      </c>
      <c r="D174" s="289" t="e">
        <f>IF(#REF!&gt;0,'Segmented SAUC'!D$98)+'Segmented SAUC'!D$99*#REF!+IF(#REF!&gt;0,'Segmented SAUC'!D$102)+'Segmented SAUC'!D$103*#REF!+IF(#REF!&gt;0,'Segmented SAUC'!D$106)+'Segmented SAUC'!D$107*#REF!</f>
        <v>#REF!</v>
      </c>
      <c r="E174" s="289" t="e">
        <f>IF(#REF!&gt;0,'Segmented SAUC'!E$98)+'Segmented SAUC'!E$99*#REF!+IF(#REF!&gt;0,'Segmented SAUC'!E$102)+'Segmented SAUC'!E$103*#REF!+IF(#REF!&gt;0,'Segmented SAUC'!E$106)+'Segmented SAUC'!E$107*#REF!</f>
        <v>#REF!</v>
      </c>
      <c r="F174" s="289" t="e">
        <f>IF(#REF!&gt;0,'Segmented SAUC'!F$98)+'Segmented SAUC'!F$99*#REF!+IF(#REF!&gt;0,'Segmented SAUC'!F$102)+'Segmented SAUC'!F$103*#REF!+IF(#REF!&gt;0,'Segmented SAUC'!F$106)+'Segmented SAUC'!F$107*#REF!</f>
        <v>#REF!</v>
      </c>
      <c r="G174" s="289" t="e">
        <f>IF(#REF!&gt;0,'Segmented SAUC'!G$98)+'Segmented SAUC'!G$99*#REF!+IF(#REF!&gt;0,'Segmented SAUC'!G$102)+'Segmented SAUC'!G$103*#REF!+IF(#REF!&gt;0,'Segmented SAUC'!G$106)+'Segmented SAUC'!G$107*#REF!</f>
        <v>#REF!</v>
      </c>
      <c r="H174" s="289" t="e">
        <f>IF(#REF!&gt;0,'Segmented SAUC'!H$98)+'Segmented SAUC'!H$99*#REF!+IF(#REF!&gt;0,'Segmented SAUC'!H$102)+'Segmented SAUC'!H$103*#REF!+IF(#REF!&gt;0,'Segmented SAUC'!H$106)+'Segmented SAUC'!H$107*#REF!</f>
        <v>#REF!</v>
      </c>
      <c r="I174" s="290" t="e">
        <f>IF(#REF!&gt;0,'Segmented SAUC'!I$98)+'Segmented SAUC'!I$99*#REF!+IF(#REF!&gt;0,'Segmented SAUC'!I$102)+'Segmented SAUC'!I$103*#REF!+IF(#REF!&gt;0,'Segmented SAUC'!I$106)+'Segmented SAUC'!I$107*#REF!</f>
        <v>#REF!</v>
      </c>
      <c r="J174" s="289" t="e">
        <f>IF(#REF!&gt;0,'Segmented SAUC'!J$98)+'Segmented SAUC'!J$99*#REF!+IF(#REF!&gt;0,'Segmented SAUC'!J$102)+'Segmented SAUC'!J$103*#REF!+IF(#REF!&gt;0,'Segmented SAUC'!J$106)+'Segmented SAUC'!J$107*#REF!</f>
        <v>#REF!</v>
      </c>
      <c r="K174" s="289" t="e">
        <f>IF(#REF!&gt;0,'Segmented SAUC'!K$98)+'Segmented SAUC'!K$99*#REF!+IF(#REF!&gt;0,'Segmented SAUC'!K$102)+'Segmented SAUC'!K$103*#REF!+IF(#REF!&gt;0,'Segmented SAUC'!K$106)+'Segmented SAUC'!K$107*#REF!</f>
        <v>#REF!</v>
      </c>
      <c r="L174" s="289" t="e">
        <f>IF(#REF!&gt;0,'Segmented SAUC'!L$98)+'Segmented SAUC'!L$99*#REF!+IF(#REF!&gt;0,'Segmented SAUC'!L$102)+'Segmented SAUC'!L$103*#REF!+IF(#REF!&gt;0,'Segmented SAUC'!L$106)+'Segmented SAUC'!L$107*#REF!</f>
        <v>#REF!</v>
      </c>
      <c r="M174" s="289" t="e">
        <f>IF(#REF!&gt;0,'Segmented SAUC'!M$98)+'Segmented SAUC'!M$99*#REF!+IF(#REF!&gt;0,'Segmented SAUC'!M$102)+'Segmented SAUC'!M$103*#REF!+IF(#REF!&gt;0,'Segmented SAUC'!M$106)+'Segmented SAUC'!M$107*#REF!</f>
        <v>#REF!</v>
      </c>
      <c r="N174" s="289" t="e">
        <f>IF(#REF!&gt;0,'Segmented SAUC'!N$98)+'Segmented SAUC'!N$99*#REF!+IF(#REF!&gt;0,'Segmented SAUC'!N$102)+'Segmented SAUC'!N$103*#REF!+IF(#REF!&gt;0,'Segmented SAUC'!N$106)+'Segmented SAUC'!N$107*#REF!</f>
        <v>#REF!</v>
      </c>
      <c r="O174" s="289" t="e">
        <f>IF(#REF!&gt;0,'Segmented SAUC'!O$98)+'Segmented SAUC'!O$99*#REF!+IF(#REF!&gt;0,'Segmented SAUC'!O$102)+'Segmented SAUC'!O$103*#REF!+IF(#REF!&gt;0,'Segmented SAUC'!O$106)+'Segmented SAUC'!O$107*#REF!</f>
        <v>#REF!</v>
      </c>
      <c r="P174" s="289" t="e">
        <f>IF(#REF!&gt;0,'Segmented SAUC'!P$98)+'Segmented SAUC'!P$99*#REF!+IF(#REF!&gt;0,'Segmented SAUC'!P$102)+'Segmented SAUC'!P$103*#REF!+IF(#REF!&gt;0,'Segmented SAUC'!P$106)+'Segmented SAUC'!P$107*#REF!</f>
        <v>#REF!</v>
      </c>
      <c r="Q174" s="289" t="e">
        <f>IF(#REF!&gt;0,'Segmented SAUC'!Q$98)+'Segmented SAUC'!Q$99*#REF!+IF(#REF!&gt;0,'Segmented SAUC'!Q$102)+'Segmented SAUC'!Q$103*#REF!+IF(#REF!&gt;0,'Segmented SAUC'!Q$106)+'Segmented SAUC'!Q$107*#REF!</f>
        <v>#REF!</v>
      </c>
      <c r="R174" s="289" t="e">
        <f>IF(#REF!&gt;0,'Segmented SAUC'!R$98)+'Segmented SAUC'!R$99*#REF!+IF(#REF!&gt;0,'Segmented SAUC'!R$102)+'Segmented SAUC'!R$103*#REF!+IF(#REF!&gt;0,'Segmented SAUC'!R$106)+'Segmented SAUC'!R$107*#REF!</f>
        <v>#REF!</v>
      </c>
    </row>
    <row r="175" spans="1:18">
      <c r="A175" s="261" t="e">
        <f>#REF!</f>
        <v>#REF!</v>
      </c>
      <c r="B175" s="289"/>
      <c r="C175" s="289" t="e">
        <f>IF(#REF!&gt;0,'Segmented SAUC'!C$98)+'Segmented SAUC'!C$99*#REF!+IF(#REF!&gt;0,'Segmented SAUC'!C$102)+'Segmented SAUC'!C$103*#REF!+IF(#REF!&gt;0,'Segmented SAUC'!C$106)+'Segmented SAUC'!C$107*#REF!</f>
        <v>#REF!</v>
      </c>
      <c r="D175" s="289" t="e">
        <f>IF(#REF!&gt;0,'Segmented SAUC'!D$98)+'Segmented SAUC'!D$99*#REF!+IF(#REF!&gt;0,'Segmented SAUC'!D$102)+'Segmented SAUC'!D$103*#REF!+IF(#REF!&gt;0,'Segmented SAUC'!D$106)+'Segmented SAUC'!D$107*#REF!</f>
        <v>#REF!</v>
      </c>
      <c r="E175" s="289" t="e">
        <f>IF(#REF!&gt;0,'Segmented SAUC'!E$98)+'Segmented SAUC'!E$99*#REF!+IF(#REF!&gt;0,'Segmented SAUC'!E$102)+'Segmented SAUC'!E$103*#REF!+IF(#REF!&gt;0,'Segmented SAUC'!E$106)+'Segmented SAUC'!E$107*#REF!</f>
        <v>#REF!</v>
      </c>
      <c r="F175" s="289" t="e">
        <f>IF(#REF!&gt;0,'Segmented SAUC'!F$98)+'Segmented SAUC'!F$99*#REF!+IF(#REF!&gt;0,'Segmented SAUC'!F$102)+'Segmented SAUC'!F$103*#REF!+IF(#REF!&gt;0,'Segmented SAUC'!F$106)+'Segmented SAUC'!F$107*#REF!</f>
        <v>#REF!</v>
      </c>
      <c r="G175" s="289" t="e">
        <f>IF(#REF!&gt;0,'Segmented SAUC'!G$98)+'Segmented SAUC'!G$99*#REF!+IF(#REF!&gt;0,'Segmented SAUC'!G$102)+'Segmented SAUC'!G$103*#REF!+IF(#REF!&gt;0,'Segmented SAUC'!G$106)+'Segmented SAUC'!G$107*#REF!</f>
        <v>#REF!</v>
      </c>
      <c r="H175" s="289" t="e">
        <f>IF(#REF!&gt;0,'Segmented SAUC'!H$98)+'Segmented SAUC'!H$99*#REF!+IF(#REF!&gt;0,'Segmented SAUC'!H$102)+'Segmented SAUC'!H$103*#REF!+IF(#REF!&gt;0,'Segmented SAUC'!H$106)+'Segmented SAUC'!H$107*#REF!</f>
        <v>#REF!</v>
      </c>
      <c r="I175" s="290" t="e">
        <f>IF(#REF!&gt;0,'Segmented SAUC'!I$98)+'Segmented SAUC'!I$99*#REF!+IF(#REF!&gt;0,'Segmented SAUC'!I$102)+'Segmented SAUC'!I$103*#REF!+IF(#REF!&gt;0,'Segmented SAUC'!I$106)+'Segmented SAUC'!I$107*#REF!</f>
        <v>#REF!</v>
      </c>
      <c r="J175" s="289" t="e">
        <f>IF(#REF!&gt;0,'Segmented SAUC'!J$98)+'Segmented SAUC'!J$99*#REF!+IF(#REF!&gt;0,'Segmented SAUC'!J$102)+'Segmented SAUC'!J$103*#REF!+IF(#REF!&gt;0,'Segmented SAUC'!J$106)+'Segmented SAUC'!J$107*#REF!</f>
        <v>#REF!</v>
      </c>
      <c r="K175" s="289" t="e">
        <f>IF(#REF!&gt;0,'Segmented SAUC'!K$98)+'Segmented SAUC'!K$99*#REF!+IF(#REF!&gt;0,'Segmented SAUC'!K$102)+'Segmented SAUC'!K$103*#REF!+IF(#REF!&gt;0,'Segmented SAUC'!K$106)+'Segmented SAUC'!K$107*#REF!</f>
        <v>#REF!</v>
      </c>
      <c r="L175" s="289" t="e">
        <f>IF(#REF!&gt;0,'Segmented SAUC'!L$98)+'Segmented SAUC'!L$99*#REF!+IF(#REF!&gt;0,'Segmented SAUC'!L$102)+'Segmented SAUC'!L$103*#REF!+IF(#REF!&gt;0,'Segmented SAUC'!L$106)+'Segmented SAUC'!L$107*#REF!</f>
        <v>#REF!</v>
      </c>
      <c r="M175" s="289" t="e">
        <f>IF(#REF!&gt;0,'Segmented SAUC'!M$98)+'Segmented SAUC'!M$99*#REF!+IF(#REF!&gt;0,'Segmented SAUC'!M$102)+'Segmented SAUC'!M$103*#REF!+IF(#REF!&gt;0,'Segmented SAUC'!M$106)+'Segmented SAUC'!M$107*#REF!</f>
        <v>#REF!</v>
      </c>
      <c r="N175" s="289" t="e">
        <f>IF(#REF!&gt;0,'Segmented SAUC'!N$98)+'Segmented SAUC'!N$99*#REF!+IF(#REF!&gt;0,'Segmented SAUC'!N$102)+'Segmented SAUC'!N$103*#REF!+IF(#REF!&gt;0,'Segmented SAUC'!N$106)+'Segmented SAUC'!N$107*#REF!</f>
        <v>#REF!</v>
      </c>
      <c r="O175" s="289" t="e">
        <f>IF(#REF!&gt;0,'Segmented SAUC'!O$98)+'Segmented SAUC'!O$99*#REF!+IF(#REF!&gt;0,'Segmented SAUC'!O$102)+'Segmented SAUC'!O$103*#REF!+IF(#REF!&gt;0,'Segmented SAUC'!O$106)+'Segmented SAUC'!O$107*#REF!</f>
        <v>#REF!</v>
      </c>
      <c r="P175" s="289" t="e">
        <f>IF(#REF!&gt;0,'Segmented SAUC'!P$98)+'Segmented SAUC'!P$99*#REF!+IF(#REF!&gt;0,'Segmented SAUC'!P$102)+'Segmented SAUC'!P$103*#REF!+IF(#REF!&gt;0,'Segmented SAUC'!P$106)+'Segmented SAUC'!P$107*#REF!</f>
        <v>#REF!</v>
      </c>
      <c r="Q175" s="289" t="e">
        <f>IF(#REF!&gt;0,'Segmented SAUC'!Q$98)+'Segmented SAUC'!Q$99*#REF!+IF(#REF!&gt;0,'Segmented SAUC'!Q$102)+'Segmented SAUC'!Q$103*#REF!+IF(#REF!&gt;0,'Segmented SAUC'!Q$106)+'Segmented SAUC'!Q$107*#REF!</f>
        <v>#REF!</v>
      </c>
      <c r="R175" s="289" t="e">
        <f>IF(#REF!&gt;0,'Segmented SAUC'!R$98)+'Segmented SAUC'!R$99*#REF!+IF(#REF!&gt;0,'Segmented SAUC'!R$102)+'Segmented SAUC'!R$103*#REF!+IF(#REF!&gt;0,'Segmented SAUC'!R$106)+'Segmented SAUC'!R$107*#REF!</f>
        <v>#REF!</v>
      </c>
    </row>
    <row r="176" spans="1:18">
      <c r="A176" s="261" t="e">
        <f>#REF!</f>
        <v>#REF!</v>
      </c>
      <c r="B176" s="289"/>
      <c r="C176" s="289" t="e">
        <f>IF(#REF!&gt;0,'Segmented SAUC'!C$98)+'Segmented SAUC'!C$99*#REF!+IF(#REF!&gt;0,'Segmented SAUC'!C$102)+'Segmented SAUC'!C$103*#REF!+IF(#REF!&gt;0,'Segmented SAUC'!C$106)+'Segmented SAUC'!C$107*#REF!</f>
        <v>#REF!</v>
      </c>
      <c r="D176" s="289" t="e">
        <f>IF(#REF!&gt;0,'Segmented SAUC'!D$98)+'Segmented SAUC'!D$99*#REF!+IF(#REF!&gt;0,'Segmented SAUC'!D$102)+'Segmented SAUC'!D$103*#REF!+IF(#REF!&gt;0,'Segmented SAUC'!D$106)+'Segmented SAUC'!D$107*#REF!</f>
        <v>#REF!</v>
      </c>
      <c r="E176" s="289" t="e">
        <f>IF(#REF!&gt;0,'Segmented SAUC'!E$98)+'Segmented SAUC'!E$99*#REF!+IF(#REF!&gt;0,'Segmented SAUC'!E$102)+'Segmented SAUC'!E$103*#REF!+IF(#REF!&gt;0,'Segmented SAUC'!E$106)+'Segmented SAUC'!E$107*#REF!</f>
        <v>#REF!</v>
      </c>
      <c r="F176" s="289" t="e">
        <f>IF(#REF!&gt;0,'Segmented SAUC'!F$98)+'Segmented SAUC'!F$99*#REF!+IF(#REF!&gt;0,'Segmented SAUC'!F$102)+'Segmented SAUC'!F$103*#REF!+IF(#REF!&gt;0,'Segmented SAUC'!F$106)+'Segmented SAUC'!F$107*#REF!</f>
        <v>#REF!</v>
      </c>
      <c r="G176" s="289" t="e">
        <f>IF(#REF!&gt;0,'Segmented SAUC'!G$98)+'Segmented SAUC'!G$99*#REF!+IF(#REF!&gt;0,'Segmented SAUC'!G$102)+'Segmented SAUC'!G$103*#REF!+IF(#REF!&gt;0,'Segmented SAUC'!G$106)+'Segmented SAUC'!G$107*#REF!</f>
        <v>#REF!</v>
      </c>
      <c r="H176" s="289" t="e">
        <f>IF(#REF!&gt;0,'Segmented SAUC'!H$98)+'Segmented SAUC'!H$99*#REF!+IF(#REF!&gt;0,'Segmented SAUC'!H$102)+'Segmented SAUC'!H$103*#REF!+IF(#REF!&gt;0,'Segmented SAUC'!H$106)+'Segmented SAUC'!H$107*#REF!</f>
        <v>#REF!</v>
      </c>
      <c r="I176" s="290" t="e">
        <f>IF(#REF!&gt;0,'Segmented SAUC'!I$98)+'Segmented SAUC'!I$99*#REF!+IF(#REF!&gt;0,'Segmented SAUC'!I$102)+'Segmented SAUC'!I$103*#REF!+IF(#REF!&gt;0,'Segmented SAUC'!I$106)+'Segmented SAUC'!I$107*#REF!</f>
        <v>#REF!</v>
      </c>
      <c r="J176" s="289" t="e">
        <f>IF(#REF!&gt;0,'Segmented SAUC'!J$98)+'Segmented SAUC'!J$99*#REF!+IF(#REF!&gt;0,'Segmented SAUC'!J$102)+'Segmented SAUC'!J$103*#REF!+IF(#REF!&gt;0,'Segmented SAUC'!J$106)+'Segmented SAUC'!J$107*#REF!</f>
        <v>#REF!</v>
      </c>
      <c r="K176" s="289" t="e">
        <f>IF(#REF!&gt;0,'Segmented SAUC'!K$98)+'Segmented SAUC'!K$99*#REF!+IF(#REF!&gt;0,'Segmented SAUC'!K$102)+'Segmented SAUC'!K$103*#REF!+IF(#REF!&gt;0,'Segmented SAUC'!K$106)+'Segmented SAUC'!K$107*#REF!</f>
        <v>#REF!</v>
      </c>
      <c r="L176" s="289" t="e">
        <f>IF(#REF!&gt;0,'Segmented SAUC'!L$98)+'Segmented SAUC'!L$99*#REF!+IF(#REF!&gt;0,'Segmented SAUC'!L$102)+'Segmented SAUC'!L$103*#REF!+IF(#REF!&gt;0,'Segmented SAUC'!L$106)+'Segmented SAUC'!L$107*#REF!</f>
        <v>#REF!</v>
      </c>
      <c r="M176" s="289" t="e">
        <f>IF(#REF!&gt;0,'Segmented SAUC'!M$98)+'Segmented SAUC'!M$99*#REF!+IF(#REF!&gt;0,'Segmented SAUC'!M$102)+'Segmented SAUC'!M$103*#REF!+IF(#REF!&gt;0,'Segmented SAUC'!M$106)+'Segmented SAUC'!M$107*#REF!</f>
        <v>#REF!</v>
      </c>
      <c r="N176" s="289" t="e">
        <f>IF(#REF!&gt;0,'Segmented SAUC'!N$98)+'Segmented SAUC'!N$99*#REF!+IF(#REF!&gt;0,'Segmented SAUC'!N$102)+'Segmented SAUC'!N$103*#REF!+IF(#REF!&gt;0,'Segmented SAUC'!N$106)+'Segmented SAUC'!N$107*#REF!</f>
        <v>#REF!</v>
      </c>
      <c r="O176" s="289" t="e">
        <f>IF(#REF!&gt;0,'Segmented SAUC'!O$98)+'Segmented SAUC'!O$99*#REF!+IF(#REF!&gt;0,'Segmented SAUC'!O$102)+'Segmented SAUC'!O$103*#REF!+IF(#REF!&gt;0,'Segmented SAUC'!O$106)+'Segmented SAUC'!O$107*#REF!</f>
        <v>#REF!</v>
      </c>
      <c r="P176" s="289" t="e">
        <f>IF(#REF!&gt;0,'Segmented SAUC'!P$98)+'Segmented SAUC'!P$99*#REF!+IF(#REF!&gt;0,'Segmented SAUC'!P$102)+'Segmented SAUC'!P$103*#REF!+IF(#REF!&gt;0,'Segmented SAUC'!P$106)+'Segmented SAUC'!P$107*#REF!</f>
        <v>#REF!</v>
      </c>
      <c r="Q176" s="289" t="e">
        <f>IF(#REF!&gt;0,'Segmented SAUC'!Q$98)+'Segmented SAUC'!Q$99*#REF!+IF(#REF!&gt;0,'Segmented SAUC'!Q$102)+'Segmented SAUC'!Q$103*#REF!+IF(#REF!&gt;0,'Segmented SAUC'!Q$106)+'Segmented SAUC'!Q$107*#REF!</f>
        <v>#REF!</v>
      </c>
      <c r="R176" s="289" t="e">
        <f>IF(#REF!&gt;0,'Segmented SAUC'!R$98)+'Segmented SAUC'!R$99*#REF!+IF(#REF!&gt;0,'Segmented SAUC'!R$102)+'Segmented SAUC'!R$103*#REF!+IF(#REF!&gt;0,'Segmented SAUC'!R$106)+'Segmented SAUC'!R$107*#REF!</f>
        <v>#REF!</v>
      </c>
    </row>
    <row r="177" spans="1:18">
      <c r="A177" s="261" t="e">
        <f>#REF!</f>
        <v>#REF!</v>
      </c>
      <c r="B177" s="289"/>
      <c r="C177" s="289" t="e">
        <f>IF(#REF!&gt;0,'Segmented SAUC'!C$98)+'Segmented SAUC'!C$99*#REF!+IF(#REF!&gt;0,'Segmented SAUC'!C$102)+'Segmented SAUC'!C$103*#REF!+IF(#REF!&gt;0,'Segmented SAUC'!C$106)+'Segmented SAUC'!C$107*#REF!</f>
        <v>#REF!</v>
      </c>
      <c r="D177" s="289" t="e">
        <f>IF(#REF!&gt;0,'Segmented SAUC'!D$98)+'Segmented SAUC'!D$99*#REF!+IF(#REF!&gt;0,'Segmented SAUC'!D$102)+'Segmented SAUC'!D$103*#REF!+IF(#REF!&gt;0,'Segmented SAUC'!D$106)+'Segmented SAUC'!D$107*#REF!</f>
        <v>#REF!</v>
      </c>
      <c r="E177" s="289" t="e">
        <f>IF(#REF!&gt;0,'Segmented SAUC'!E$98)+'Segmented SAUC'!E$99*#REF!+IF(#REF!&gt;0,'Segmented SAUC'!E$102)+'Segmented SAUC'!E$103*#REF!+IF(#REF!&gt;0,'Segmented SAUC'!E$106)+'Segmented SAUC'!E$107*#REF!</f>
        <v>#REF!</v>
      </c>
      <c r="F177" s="289" t="e">
        <f>IF(#REF!&gt;0,'Segmented SAUC'!F$98)+'Segmented SAUC'!F$99*#REF!+IF(#REF!&gt;0,'Segmented SAUC'!F$102)+'Segmented SAUC'!F$103*#REF!+IF(#REF!&gt;0,'Segmented SAUC'!F$106)+'Segmented SAUC'!F$107*#REF!</f>
        <v>#REF!</v>
      </c>
      <c r="G177" s="289" t="e">
        <f>IF(#REF!&gt;0,'Segmented SAUC'!G$98)+'Segmented SAUC'!G$99*#REF!+IF(#REF!&gt;0,'Segmented SAUC'!G$102)+'Segmented SAUC'!G$103*#REF!+IF(#REF!&gt;0,'Segmented SAUC'!G$106)+'Segmented SAUC'!G$107*#REF!</f>
        <v>#REF!</v>
      </c>
      <c r="H177" s="289" t="e">
        <f>IF(#REF!&gt;0,'Segmented SAUC'!H$98)+'Segmented SAUC'!H$99*#REF!+IF(#REF!&gt;0,'Segmented SAUC'!H$102)+'Segmented SAUC'!H$103*#REF!+IF(#REF!&gt;0,'Segmented SAUC'!H$106)+'Segmented SAUC'!H$107*#REF!</f>
        <v>#REF!</v>
      </c>
      <c r="I177" s="290" t="e">
        <f>IF(#REF!&gt;0,'Segmented SAUC'!I$98)+'Segmented SAUC'!I$99*#REF!+IF(#REF!&gt;0,'Segmented SAUC'!I$102)+'Segmented SAUC'!I$103*#REF!+IF(#REF!&gt;0,'Segmented SAUC'!I$106)+'Segmented SAUC'!I$107*#REF!</f>
        <v>#REF!</v>
      </c>
      <c r="J177" s="289" t="e">
        <f>IF(#REF!&gt;0,'Segmented SAUC'!J$98)+'Segmented SAUC'!J$99*#REF!+IF(#REF!&gt;0,'Segmented SAUC'!J$102)+'Segmented SAUC'!J$103*#REF!+IF(#REF!&gt;0,'Segmented SAUC'!J$106)+'Segmented SAUC'!J$107*#REF!</f>
        <v>#REF!</v>
      </c>
      <c r="K177" s="289" t="e">
        <f>IF(#REF!&gt;0,'Segmented SAUC'!K$98)+'Segmented SAUC'!K$99*#REF!+IF(#REF!&gt;0,'Segmented SAUC'!K$102)+'Segmented SAUC'!K$103*#REF!+IF(#REF!&gt;0,'Segmented SAUC'!K$106)+'Segmented SAUC'!K$107*#REF!</f>
        <v>#REF!</v>
      </c>
      <c r="L177" s="289" t="e">
        <f>IF(#REF!&gt;0,'Segmented SAUC'!L$98)+'Segmented SAUC'!L$99*#REF!+IF(#REF!&gt;0,'Segmented SAUC'!L$102)+'Segmented SAUC'!L$103*#REF!+IF(#REF!&gt;0,'Segmented SAUC'!L$106)+'Segmented SAUC'!L$107*#REF!</f>
        <v>#REF!</v>
      </c>
      <c r="M177" s="289" t="e">
        <f>IF(#REF!&gt;0,'Segmented SAUC'!M$98)+'Segmented SAUC'!M$99*#REF!+IF(#REF!&gt;0,'Segmented SAUC'!M$102)+'Segmented SAUC'!M$103*#REF!+IF(#REF!&gt;0,'Segmented SAUC'!M$106)+'Segmented SAUC'!M$107*#REF!</f>
        <v>#REF!</v>
      </c>
      <c r="N177" s="289" t="e">
        <f>IF(#REF!&gt;0,'Segmented SAUC'!N$98)+'Segmented SAUC'!N$99*#REF!+IF(#REF!&gt;0,'Segmented SAUC'!N$102)+'Segmented SAUC'!N$103*#REF!+IF(#REF!&gt;0,'Segmented SAUC'!N$106)+'Segmented SAUC'!N$107*#REF!</f>
        <v>#REF!</v>
      </c>
      <c r="O177" s="289" t="e">
        <f>IF(#REF!&gt;0,'Segmented SAUC'!O$98)+'Segmented SAUC'!O$99*#REF!+IF(#REF!&gt;0,'Segmented SAUC'!O$102)+'Segmented SAUC'!O$103*#REF!+IF(#REF!&gt;0,'Segmented SAUC'!O$106)+'Segmented SAUC'!O$107*#REF!</f>
        <v>#REF!</v>
      </c>
      <c r="P177" s="289" t="e">
        <f>IF(#REF!&gt;0,'Segmented SAUC'!P$98)+'Segmented SAUC'!P$99*#REF!+IF(#REF!&gt;0,'Segmented SAUC'!P$102)+'Segmented SAUC'!P$103*#REF!+IF(#REF!&gt;0,'Segmented SAUC'!P$106)+'Segmented SAUC'!P$107*#REF!</f>
        <v>#REF!</v>
      </c>
      <c r="Q177" s="289" t="e">
        <f>IF(#REF!&gt;0,'Segmented SAUC'!Q$98)+'Segmented SAUC'!Q$99*#REF!+IF(#REF!&gt;0,'Segmented SAUC'!Q$102)+'Segmented SAUC'!Q$103*#REF!+IF(#REF!&gt;0,'Segmented SAUC'!Q$106)+'Segmented SAUC'!Q$107*#REF!</f>
        <v>#REF!</v>
      </c>
      <c r="R177" s="289" t="e">
        <f>IF(#REF!&gt;0,'Segmented SAUC'!R$98)+'Segmented SAUC'!R$99*#REF!+IF(#REF!&gt;0,'Segmented SAUC'!R$102)+'Segmented SAUC'!R$103*#REF!+IF(#REF!&gt;0,'Segmented SAUC'!R$106)+'Segmented SAUC'!R$107*#REF!</f>
        <v>#REF!</v>
      </c>
    </row>
    <row r="178" spans="1:18">
      <c r="A178" s="261" t="e">
        <f>#REF!</f>
        <v>#REF!</v>
      </c>
      <c r="B178" s="289"/>
      <c r="C178" s="289" t="e">
        <f>IF(#REF!&gt;0,'Segmented SAUC'!C$98)+'Segmented SAUC'!C$99*#REF!+IF(#REF!&gt;0,'Segmented SAUC'!C$102)+'Segmented SAUC'!C$103*#REF!+IF(#REF!&gt;0,'Segmented SAUC'!C$106)+'Segmented SAUC'!C$107*#REF!</f>
        <v>#REF!</v>
      </c>
      <c r="D178" s="289" t="e">
        <f>IF(#REF!&gt;0,'Segmented SAUC'!D$98)+'Segmented SAUC'!D$99*#REF!+IF(#REF!&gt;0,'Segmented SAUC'!D$102)+'Segmented SAUC'!D$103*#REF!+IF(#REF!&gt;0,'Segmented SAUC'!D$106)+'Segmented SAUC'!D$107*#REF!</f>
        <v>#REF!</v>
      </c>
      <c r="E178" s="289" t="e">
        <f>IF(#REF!&gt;0,'Segmented SAUC'!E$98)+'Segmented SAUC'!E$99*#REF!+IF(#REF!&gt;0,'Segmented SAUC'!E$102)+'Segmented SAUC'!E$103*#REF!+IF(#REF!&gt;0,'Segmented SAUC'!E$106)+'Segmented SAUC'!E$107*#REF!</f>
        <v>#REF!</v>
      </c>
      <c r="F178" s="289" t="e">
        <f>IF(#REF!&gt;0,'Segmented SAUC'!F$98)+'Segmented SAUC'!F$99*#REF!+IF(#REF!&gt;0,'Segmented SAUC'!F$102)+'Segmented SAUC'!F$103*#REF!+IF(#REF!&gt;0,'Segmented SAUC'!F$106)+'Segmented SAUC'!F$107*#REF!</f>
        <v>#REF!</v>
      </c>
      <c r="G178" s="289" t="e">
        <f>IF(#REF!&gt;0,'Segmented SAUC'!G$98)+'Segmented SAUC'!G$99*#REF!+IF(#REF!&gt;0,'Segmented SAUC'!G$102)+'Segmented SAUC'!G$103*#REF!+IF(#REF!&gt;0,'Segmented SAUC'!G$106)+'Segmented SAUC'!G$107*#REF!</f>
        <v>#REF!</v>
      </c>
      <c r="H178" s="289" t="e">
        <f>IF(#REF!&gt;0,'Segmented SAUC'!H$98)+'Segmented SAUC'!H$99*#REF!+IF(#REF!&gt;0,'Segmented SAUC'!H$102)+'Segmented SAUC'!H$103*#REF!+IF(#REF!&gt;0,'Segmented SAUC'!H$106)+'Segmented SAUC'!H$107*#REF!</f>
        <v>#REF!</v>
      </c>
      <c r="I178" s="290" t="e">
        <f>IF(#REF!&gt;0,'Segmented SAUC'!I$98)+'Segmented SAUC'!I$99*#REF!+IF(#REF!&gt;0,'Segmented SAUC'!I$102)+'Segmented SAUC'!I$103*#REF!+IF(#REF!&gt;0,'Segmented SAUC'!I$106)+'Segmented SAUC'!I$107*#REF!</f>
        <v>#REF!</v>
      </c>
      <c r="J178" s="289" t="e">
        <f>IF(#REF!&gt;0,'Segmented SAUC'!J$98)+'Segmented SAUC'!J$99*#REF!+IF(#REF!&gt;0,'Segmented SAUC'!J$102)+'Segmented SAUC'!J$103*#REF!+IF(#REF!&gt;0,'Segmented SAUC'!J$106)+'Segmented SAUC'!J$107*#REF!</f>
        <v>#REF!</v>
      </c>
      <c r="K178" s="289" t="e">
        <f>IF(#REF!&gt;0,'Segmented SAUC'!K$98)+'Segmented SAUC'!K$99*#REF!+IF(#REF!&gt;0,'Segmented SAUC'!K$102)+'Segmented SAUC'!K$103*#REF!+IF(#REF!&gt;0,'Segmented SAUC'!K$106)+'Segmented SAUC'!K$107*#REF!</f>
        <v>#REF!</v>
      </c>
      <c r="L178" s="289" t="e">
        <f>IF(#REF!&gt;0,'Segmented SAUC'!L$98)+'Segmented SAUC'!L$99*#REF!+IF(#REF!&gt;0,'Segmented SAUC'!L$102)+'Segmented SAUC'!L$103*#REF!+IF(#REF!&gt;0,'Segmented SAUC'!L$106)+'Segmented SAUC'!L$107*#REF!</f>
        <v>#REF!</v>
      </c>
      <c r="M178" s="289" t="e">
        <f>IF(#REF!&gt;0,'Segmented SAUC'!M$98)+'Segmented SAUC'!M$99*#REF!+IF(#REF!&gt;0,'Segmented SAUC'!M$102)+'Segmented SAUC'!M$103*#REF!+IF(#REF!&gt;0,'Segmented SAUC'!M$106)+'Segmented SAUC'!M$107*#REF!</f>
        <v>#REF!</v>
      </c>
      <c r="N178" s="289" t="e">
        <f>IF(#REF!&gt;0,'Segmented SAUC'!N$98)+'Segmented SAUC'!N$99*#REF!+IF(#REF!&gt;0,'Segmented SAUC'!N$102)+'Segmented SAUC'!N$103*#REF!+IF(#REF!&gt;0,'Segmented SAUC'!N$106)+'Segmented SAUC'!N$107*#REF!</f>
        <v>#REF!</v>
      </c>
      <c r="O178" s="289" t="e">
        <f>IF(#REF!&gt;0,'Segmented SAUC'!O$98)+'Segmented SAUC'!O$99*#REF!+IF(#REF!&gt;0,'Segmented SAUC'!O$102)+'Segmented SAUC'!O$103*#REF!+IF(#REF!&gt;0,'Segmented SAUC'!O$106)+'Segmented SAUC'!O$107*#REF!</f>
        <v>#REF!</v>
      </c>
      <c r="P178" s="289" t="e">
        <f>IF(#REF!&gt;0,'Segmented SAUC'!P$98)+'Segmented SAUC'!P$99*#REF!+IF(#REF!&gt;0,'Segmented SAUC'!P$102)+'Segmented SAUC'!P$103*#REF!+IF(#REF!&gt;0,'Segmented SAUC'!P$106)+'Segmented SAUC'!P$107*#REF!</f>
        <v>#REF!</v>
      </c>
      <c r="Q178" s="289" t="e">
        <f>IF(#REF!&gt;0,'Segmented SAUC'!Q$98)+'Segmented SAUC'!Q$99*#REF!+IF(#REF!&gt;0,'Segmented SAUC'!Q$102)+'Segmented SAUC'!Q$103*#REF!+IF(#REF!&gt;0,'Segmented SAUC'!Q$106)+'Segmented SAUC'!Q$107*#REF!</f>
        <v>#REF!</v>
      </c>
      <c r="R178" s="289" t="e">
        <f>IF(#REF!&gt;0,'Segmented SAUC'!R$98)+'Segmented SAUC'!R$99*#REF!+IF(#REF!&gt;0,'Segmented SAUC'!R$102)+'Segmented SAUC'!R$103*#REF!+IF(#REF!&gt;0,'Segmented SAUC'!R$106)+'Segmented SAUC'!R$107*#REF!</f>
        <v>#REF!</v>
      </c>
    </row>
    <row r="179" spans="1:18">
      <c r="A179" s="261" t="e">
        <f>#REF!</f>
        <v>#REF!</v>
      </c>
      <c r="B179" s="289"/>
      <c r="C179" s="289" t="e">
        <f>IF(#REF!&gt;0,'Segmented SAUC'!C$98)+'Segmented SAUC'!C$99*#REF!+IF(#REF!&gt;0,'Segmented SAUC'!C$102)+'Segmented SAUC'!C$103*#REF!+IF(#REF!&gt;0,'Segmented SAUC'!C$106)+'Segmented SAUC'!C$107*#REF!</f>
        <v>#REF!</v>
      </c>
      <c r="D179" s="289" t="e">
        <f>IF(#REF!&gt;0,'Segmented SAUC'!D$98)+'Segmented SAUC'!D$99*#REF!+IF(#REF!&gt;0,'Segmented SAUC'!D$102)+'Segmented SAUC'!D$103*#REF!+IF(#REF!&gt;0,'Segmented SAUC'!D$106)+'Segmented SAUC'!D$107*#REF!</f>
        <v>#REF!</v>
      </c>
      <c r="E179" s="289" t="e">
        <f>IF(#REF!&gt;0,'Segmented SAUC'!E$98)+'Segmented SAUC'!E$99*#REF!+IF(#REF!&gt;0,'Segmented SAUC'!E$102)+'Segmented SAUC'!E$103*#REF!+IF(#REF!&gt;0,'Segmented SAUC'!E$106)+'Segmented SAUC'!E$107*#REF!</f>
        <v>#REF!</v>
      </c>
      <c r="F179" s="289" t="e">
        <f>IF(#REF!&gt;0,'Segmented SAUC'!F$98)+'Segmented SAUC'!F$99*#REF!+IF(#REF!&gt;0,'Segmented SAUC'!F$102)+'Segmented SAUC'!F$103*#REF!+IF(#REF!&gt;0,'Segmented SAUC'!F$106)+'Segmented SAUC'!F$107*#REF!</f>
        <v>#REF!</v>
      </c>
      <c r="G179" s="289" t="e">
        <f>IF(#REF!&gt;0,'Segmented SAUC'!G$98)+'Segmented SAUC'!G$99*#REF!+IF(#REF!&gt;0,'Segmented SAUC'!G$102)+'Segmented SAUC'!G$103*#REF!+IF(#REF!&gt;0,'Segmented SAUC'!G$106)+'Segmented SAUC'!G$107*#REF!</f>
        <v>#REF!</v>
      </c>
      <c r="H179" s="289" t="e">
        <f>IF(#REF!&gt;0,'Segmented SAUC'!H$98)+'Segmented SAUC'!H$99*#REF!+IF(#REF!&gt;0,'Segmented SAUC'!H$102)+'Segmented SAUC'!H$103*#REF!+IF(#REF!&gt;0,'Segmented SAUC'!H$106)+'Segmented SAUC'!H$107*#REF!</f>
        <v>#REF!</v>
      </c>
      <c r="I179" s="290" t="e">
        <f>IF(#REF!&gt;0,'Segmented SAUC'!I$98)+'Segmented SAUC'!I$99*#REF!+IF(#REF!&gt;0,'Segmented SAUC'!I$102)+'Segmented SAUC'!I$103*#REF!+IF(#REF!&gt;0,'Segmented SAUC'!I$106)+'Segmented SAUC'!I$107*#REF!</f>
        <v>#REF!</v>
      </c>
      <c r="J179" s="289" t="e">
        <f>IF(#REF!&gt;0,'Segmented SAUC'!J$98)+'Segmented SAUC'!J$99*#REF!+IF(#REF!&gt;0,'Segmented SAUC'!J$102)+'Segmented SAUC'!J$103*#REF!+IF(#REF!&gt;0,'Segmented SAUC'!J$106)+'Segmented SAUC'!J$107*#REF!</f>
        <v>#REF!</v>
      </c>
      <c r="K179" s="289" t="e">
        <f>IF(#REF!&gt;0,'Segmented SAUC'!K$98)+'Segmented SAUC'!K$99*#REF!+IF(#REF!&gt;0,'Segmented SAUC'!K$102)+'Segmented SAUC'!K$103*#REF!+IF(#REF!&gt;0,'Segmented SAUC'!K$106)+'Segmented SAUC'!K$107*#REF!</f>
        <v>#REF!</v>
      </c>
      <c r="L179" s="289" t="e">
        <f>IF(#REF!&gt;0,'Segmented SAUC'!L$98)+'Segmented SAUC'!L$99*#REF!+IF(#REF!&gt;0,'Segmented SAUC'!L$102)+'Segmented SAUC'!L$103*#REF!+IF(#REF!&gt;0,'Segmented SAUC'!L$106)+'Segmented SAUC'!L$107*#REF!</f>
        <v>#REF!</v>
      </c>
      <c r="M179" s="289" t="e">
        <f>IF(#REF!&gt;0,'Segmented SAUC'!M$98)+'Segmented SAUC'!M$99*#REF!+IF(#REF!&gt;0,'Segmented SAUC'!M$102)+'Segmented SAUC'!M$103*#REF!+IF(#REF!&gt;0,'Segmented SAUC'!M$106)+'Segmented SAUC'!M$107*#REF!</f>
        <v>#REF!</v>
      </c>
      <c r="N179" s="289" t="e">
        <f>IF(#REF!&gt;0,'Segmented SAUC'!N$98)+'Segmented SAUC'!N$99*#REF!+IF(#REF!&gt;0,'Segmented SAUC'!N$102)+'Segmented SAUC'!N$103*#REF!+IF(#REF!&gt;0,'Segmented SAUC'!N$106)+'Segmented SAUC'!N$107*#REF!</f>
        <v>#REF!</v>
      </c>
      <c r="O179" s="289" t="e">
        <f>IF(#REF!&gt;0,'Segmented SAUC'!O$98)+'Segmented SAUC'!O$99*#REF!+IF(#REF!&gt;0,'Segmented SAUC'!O$102)+'Segmented SAUC'!O$103*#REF!+IF(#REF!&gt;0,'Segmented SAUC'!O$106)+'Segmented SAUC'!O$107*#REF!</f>
        <v>#REF!</v>
      </c>
      <c r="P179" s="289" t="e">
        <f>IF(#REF!&gt;0,'Segmented SAUC'!P$98)+'Segmented SAUC'!P$99*#REF!+IF(#REF!&gt;0,'Segmented SAUC'!P$102)+'Segmented SAUC'!P$103*#REF!+IF(#REF!&gt;0,'Segmented SAUC'!P$106)+'Segmented SAUC'!P$107*#REF!</f>
        <v>#REF!</v>
      </c>
      <c r="Q179" s="289" t="e">
        <f>IF(#REF!&gt;0,'Segmented SAUC'!Q$98)+'Segmented SAUC'!Q$99*#REF!+IF(#REF!&gt;0,'Segmented SAUC'!Q$102)+'Segmented SAUC'!Q$103*#REF!+IF(#REF!&gt;0,'Segmented SAUC'!Q$106)+'Segmented SAUC'!Q$107*#REF!</f>
        <v>#REF!</v>
      </c>
      <c r="R179" s="289" t="e">
        <f>IF(#REF!&gt;0,'Segmented SAUC'!R$98)+'Segmented SAUC'!R$99*#REF!+IF(#REF!&gt;0,'Segmented SAUC'!R$102)+'Segmented SAUC'!R$103*#REF!+IF(#REF!&gt;0,'Segmented SAUC'!R$106)+'Segmented SAUC'!R$107*#REF!</f>
        <v>#REF!</v>
      </c>
    </row>
    <row r="180" spans="1:18">
      <c r="A180" s="261" t="e">
        <f>#REF!</f>
        <v>#REF!</v>
      </c>
      <c r="B180" s="289"/>
      <c r="C180" s="289" t="e">
        <f>IF(#REF!&gt;0,'Segmented SAUC'!C$98)+'Segmented SAUC'!C$99*#REF!+IF(#REF!&gt;0,'Segmented SAUC'!C$102)+'Segmented SAUC'!C$103*#REF!+IF(#REF!&gt;0,'Segmented SAUC'!C$106)+'Segmented SAUC'!C$107*#REF!</f>
        <v>#REF!</v>
      </c>
      <c r="D180" s="289" t="e">
        <f>IF(#REF!&gt;0,'Segmented SAUC'!D$98)+'Segmented SAUC'!D$99*#REF!+IF(#REF!&gt;0,'Segmented SAUC'!D$102)+'Segmented SAUC'!D$103*#REF!+IF(#REF!&gt;0,'Segmented SAUC'!D$106)+'Segmented SAUC'!D$107*#REF!</f>
        <v>#REF!</v>
      </c>
      <c r="E180" s="289" t="e">
        <f>IF(#REF!&gt;0,'Segmented SAUC'!E$98)+'Segmented SAUC'!E$99*#REF!+IF(#REF!&gt;0,'Segmented SAUC'!E$102)+'Segmented SAUC'!E$103*#REF!+IF(#REF!&gt;0,'Segmented SAUC'!E$106)+'Segmented SAUC'!E$107*#REF!</f>
        <v>#REF!</v>
      </c>
      <c r="F180" s="289" t="e">
        <f>IF(#REF!&gt;0,'Segmented SAUC'!F$98)+'Segmented SAUC'!F$99*#REF!+IF(#REF!&gt;0,'Segmented SAUC'!F$102)+'Segmented SAUC'!F$103*#REF!+IF(#REF!&gt;0,'Segmented SAUC'!F$106)+'Segmented SAUC'!F$107*#REF!</f>
        <v>#REF!</v>
      </c>
      <c r="G180" s="289" t="e">
        <f>IF(#REF!&gt;0,'Segmented SAUC'!G$98)+'Segmented SAUC'!G$99*#REF!+IF(#REF!&gt;0,'Segmented SAUC'!G$102)+'Segmented SAUC'!G$103*#REF!+IF(#REF!&gt;0,'Segmented SAUC'!G$106)+'Segmented SAUC'!G$107*#REF!</f>
        <v>#REF!</v>
      </c>
      <c r="H180" s="289" t="e">
        <f>IF(#REF!&gt;0,'Segmented SAUC'!H$98)+'Segmented SAUC'!H$99*#REF!+IF(#REF!&gt;0,'Segmented SAUC'!H$102)+'Segmented SAUC'!H$103*#REF!+IF(#REF!&gt;0,'Segmented SAUC'!H$106)+'Segmented SAUC'!H$107*#REF!</f>
        <v>#REF!</v>
      </c>
      <c r="I180" s="290" t="e">
        <f>IF(#REF!&gt;0,'Segmented SAUC'!I$98)+'Segmented SAUC'!I$99*#REF!+IF(#REF!&gt;0,'Segmented SAUC'!I$102)+'Segmented SAUC'!I$103*#REF!+IF(#REF!&gt;0,'Segmented SAUC'!I$106)+'Segmented SAUC'!I$107*#REF!</f>
        <v>#REF!</v>
      </c>
      <c r="J180" s="289" t="e">
        <f>IF(#REF!&gt;0,'Segmented SAUC'!J$98)+'Segmented SAUC'!J$99*#REF!+IF(#REF!&gt;0,'Segmented SAUC'!J$102)+'Segmented SAUC'!J$103*#REF!+IF(#REF!&gt;0,'Segmented SAUC'!J$106)+'Segmented SAUC'!J$107*#REF!</f>
        <v>#REF!</v>
      </c>
      <c r="K180" s="289" t="e">
        <f>IF(#REF!&gt;0,'Segmented SAUC'!K$98)+'Segmented SAUC'!K$99*#REF!+IF(#REF!&gt;0,'Segmented SAUC'!K$102)+'Segmented SAUC'!K$103*#REF!+IF(#REF!&gt;0,'Segmented SAUC'!K$106)+'Segmented SAUC'!K$107*#REF!</f>
        <v>#REF!</v>
      </c>
      <c r="L180" s="289" t="e">
        <f>IF(#REF!&gt;0,'Segmented SAUC'!L$98)+'Segmented SAUC'!L$99*#REF!+IF(#REF!&gt;0,'Segmented SAUC'!L$102)+'Segmented SAUC'!L$103*#REF!+IF(#REF!&gt;0,'Segmented SAUC'!L$106)+'Segmented SAUC'!L$107*#REF!</f>
        <v>#REF!</v>
      </c>
      <c r="M180" s="289" t="e">
        <f>IF(#REF!&gt;0,'Segmented SAUC'!M$98)+'Segmented SAUC'!M$99*#REF!+IF(#REF!&gt;0,'Segmented SAUC'!M$102)+'Segmented SAUC'!M$103*#REF!+IF(#REF!&gt;0,'Segmented SAUC'!M$106)+'Segmented SAUC'!M$107*#REF!</f>
        <v>#REF!</v>
      </c>
      <c r="N180" s="289" t="e">
        <f>IF(#REF!&gt;0,'Segmented SAUC'!N$98)+'Segmented SAUC'!N$99*#REF!+IF(#REF!&gt;0,'Segmented SAUC'!N$102)+'Segmented SAUC'!N$103*#REF!+IF(#REF!&gt;0,'Segmented SAUC'!N$106)+'Segmented SAUC'!N$107*#REF!</f>
        <v>#REF!</v>
      </c>
      <c r="O180" s="289" t="e">
        <f>IF(#REF!&gt;0,'Segmented SAUC'!O$98)+'Segmented SAUC'!O$99*#REF!+IF(#REF!&gt;0,'Segmented SAUC'!O$102)+'Segmented SAUC'!O$103*#REF!+IF(#REF!&gt;0,'Segmented SAUC'!O$106)+'Segmented SAUC'!O$107*#REF!</f>
        <v>#REF!</v>
      </c>
      <c r="P180" s="289" t="e">
        <f>IF(#REF!&gt;0,'Segmented SAUC'!P$98)+'Segmented SAUC'!P$99*#REF!+IF(#REF!&gt;0,'Segmented SAUC'!P$102)+'Segmented SAUC'!P$103*#REF!+IF(#REF!&gt;0,'Segmented SAUC'!P$106)+'Segmented SAUC'!P$107*#REF!</f>
        <v>#REF!</v>
      </c>
      <c r="Q180" s="289" t="e">
        <f>IF(#REF!&gt;0,'Segmented SAUC'!Q$98)+'Segmented SAUC'!Q$99*#REF!+IF(#REF!&gt;0,'Segmented SAUC'!Q$102)+'Segmented SAUC'!Q$103*#REF!+IF(#REF!&gt;0,'Segmented SAUC'!Q$106)+'Segmented SAUC'!Q$107*#REF!</f>
        <v>#REF!</v>
      </c>
      <c r="R180" s="289" t="e">
        <f>IF(#REF!&gt;0,'Segmented SAUC'!R$98)+'Segmented SAUC'!R$99*#REF!+IF(#REF!&gt;0,'Segmented SAUC'!R$102)+'Segmented SAUC'!R$103*#REF!+IF(#REF!&gt;0,'Segmented SAUC'!R$106)+'Segmented SAUC'!R$107*#REF!</f>
        <v>#REF!</v>
      </c>
    </row>
    <row r="181" spans="1:18">
      <c r="A181" s="261" t="e">
        <f>#REF!</f>
        <v>#REF!</v>
      </c>
      <c r="B181" s="289"/>
      <c r="C181" s="289" t="e">
        <f>IF(#REF!&gt;0,'Segmented SAUC'!C$98)+'Segmented SAUC'!C$99*#REF!+IF(#REF!&gt;0,'Segmented SAUC'!C$102)+'Segmented SAUC'!C$103*#REF!+IF(#REF!&gt;0,'Segmented SAUC'!C$106)+'Segmented SAUC'!C$107*#REF!</f>
        <v>#REF!</v>
      </c>
      <c r="D181" s="289" t="e">
        <f>IF(#REF!&gt;0,'Segmented SAUC'!D$98)+'Segmented SAUC'!D$99*#REF!+IF(#REF!&gt;0,'Segmented SAUC'!D$102)+'Segmented SAUC'!D$103*#REF!+IF(#REF!&gt;0,'Segmented SAUC'!D$106)+'Segmented SAUC'!D$107*#REF!</f>
        <v>#REF!</v>
      </c>
      <c r="E181" s="289" t="e">
        <f>IF(#REF!&gt;0,'Segmented SAUC'!E$98)+'Segmented SAUC'!E$99*#REF!+IF(#REF!&gt;0,'Segmented SAUC'!E$102)+'Segmented SAUC'!E$103*#REF!+IF(#REF!&gt;0,'Segmented SAUC'!E$106)+'Segmented SAUC'!E$107*#REF!</f>
        <v>#REF!</v>
      </c>
      <c r="F181" s="289" t="e">
        <f>IF(#REF!&gt;0,'Segmented SAUC'!F$98)+'Segmented SAUC'!F$99*#REF!+IF(#REF!&gt;0,'Segmented SAUC'!F$102)+'Segmented SAUC'!F$103*#REF!+IF(#REF!&gt;0,'Segmented SAUC'!F$106)+'Segmented SAUC'!F$107*#REF!</f>
        <v>#REF!</v>
      </c>
      <c r="G181" s="289" t="e">
        <f>IF(#REF!&gt;0,'Segmented SAUC'!G$98)+'Segmented SAUC'!G$99*#REF!+IF(#REF!&gt;0,'Segmented SAUC'!G$102)+'Segmented SAUC'!G$103*#REF!+IF(#REF!&gt;0,'Segmented SAUC'!G$106)+'Segmented SAUC'!G$107*#REF!</f>
        <v>#REF!</v>
      </c>
      <c r="H181" s="289" t="e">
        <f>IF(#REF!&gt;0,'Segmented SAUC'!H$98)+'Segmented SAUC'!H$99*#REF!+IF(#REF!&gt;0,'Segmented SAUC'!H$102)+'Segmented SAUC'!H$103*#REF!+IF(#REF!&gt;0,'Segmented SAUC'!H$106)+'Segmented SAUC'!H$107*#REF!</f>
        <v>#REF!</v>
      </c>
      <c r="I181" s="290" t="e">
        <f>IF(#REF!&gt;0,'Segmented SAUC'!I$98)+'Segmented SAUC'!I$99*#REF!+IF(#REF!&gt;0,'Segmented SAUC'!I$102)+'Segmented SAUC'!I$103*#REF!+IF(#REF!&gt;0,'Segmented SAUC'!I$106)+'Segmented SAUC'!I$107*#REF!</f>
        <v>#REF!</v>
      </c>
      <c r="J181" s="289" t="e">
        <f>IF(#REF!&gt;0,'Segmented SAUC'!J$98)+'Segmented SAUC'!J$99*#REF!+IF(#REF!&gt;0,'Segmented SAUC'!J$102)+'Segmented SAUC'!J$103*#REF!+IF(#REF!&gt;0,'Segmented SAUC'!J$106)+'Segmented SAUC'!J$107*#REF!</f>
        <v>#REF!</v>
      </c>
      <c r="K181" s="289" t="e">
        <f>IF(#REF!&gt;0,'Segmented SAUC'!K$98)+'Segmented SAUC'!K$99*#REF!+IF(#REF!&gt;0,'Segmented SAUC'!K$102)+'Segmented SAUC'!K$103*#REF!+IF(#REF!&gt;0,'Segmented SAUC'!K$106)+'Segmented SAUC'!K$107*#REF!</f>
        <v>#REF!</v>
      </c>
      <c r="L181" s="289" t="e">
        <f>IF(#REF!&gt;0,'Segmented SAUC'!L$98)+'Segmented SAUC'!L$99*#REF!+IF(#REF!&gt;0,'Segmented SAUC'!L$102)+'Segmented SAUC'!L$103*#REF!+IF(#REF!&gt;0,'Segmented SAUC'!L$106)+'Segmented SAUC'!L$107*#REF!</f>
        <v>#REF!</v>
      </c>
      <c r="M181" s="289" t="e">
        <f>IF(#REF!&gt;0,'Segmented SAUC'!M$98)+'Segmented SAUC'!M$99*#REF!+IF(#REF!&gt;0,'Segmented SAUC'!M$102)+'Segmented SAUC'!M$103*#REF!+IF(#REF!&gt;0,'Segmented SAUC'!M$106)+'Segmented SAUC'!M$107*#REF!</f>
        <v>#REF!</v>
      </c>
      <c r="N181" s="289" t="e">
        <f>IF(#REF!&gt;0,'Segmented SAUC'!N$98)+'Segmented SAUC'!N$99*#REF!+IF(#REF!&gt;0,'Segmented SAUC'!N$102)+'Segmented SAUC'!N$103*#REF!+IF(#REF!&gt;0,'Segmented SAUC'!N$106)+'Segmented SAUC'!N$107*#REF!</f>
        <v>#REF!</v>
      </c>
      <c r="O181" s="289" t="e">
        <f>IF(#REF!&gt;0,'Segmented SAUC'!O$98)+'Segmented SAUC'!O$99*#REF!+IF(#REF!&gt;0,'Segmented SAUC'!O$102)+'Segmented SAUC'!O$103*#REF!+IF(#REF!&gt;0,'Segmented SAUC'!O$106)+'Segmented SAUC'!O$107*#REF!</f>
        <v>#REF!</v>
      </c>
      <c r="P181" s="289" t="e">
        <f>IF(#REF!&gt;0,'Segmented SAUC'!P$98)+'Segmented SAUC'!P$99*#REF!+IF(#REF!&gt;0,'Segmented SAUC'!P$102)+'Segmented SAUC'!P$103*#REF!+IF(#REF!&gt;0,'Segmented SAUC'!P$106)+'Segmented SAUC'!P$107*#REF!</f>
        <v>#REF!</v>
      </c>
      <c r="Q181" s="289" t="e">
        <f>IF(#REF!&gt;0,'Segmented SAUC'!Q$98)+'Segmented SAUC'!Q$99*#REF!+IF(#REF!&gt;0,'Segmented SAUC'!Q$102)+'Segmented SAUC'!Q$103*#REF!+IF(#REF!&gt;0,'Segmented SAUC'!Q$106)+'Segmented SAUC'!Q$107*#REF!</f>
        <v>#REF!</v>
      </c>
      <c r="R181" s="289" t="e">
        <f>IF(#REF!&gt;0,'Segmented SAUC'!R$98)+'Segmented SAUC'!R$99*#REF!+IF(#REF!&gt;0,'Segmented SAUC'!R$102)+'Segmented SAUC'!R$103*#REF!+IF(#REF!&gt;0,'Segmented SAUC'!R$106)+'Segmented SAUC'!R$107*#REF!</f>
        <v>#REF!</v>
      </c>
    </row>
    <row r="182" spans="1:18">
      <c r="A182" s="261" t="e">
        <f>#REF!</f>
        <v>#REF!</v>
      </c>
      <c r="B182" s="289"/>
      <c r="C182" s="289" t="e">
        <f>IF(#REF!&gt;0,'Segmented SAUC'!C$98)+'Segmented SAUC'!C$99*#REF!+IF(#REF!&gt;0,'Segmented SAUC'!C$102)+'Segmented SAUC'!C$103*#REF!+IF(#REF!&gt;0,'Segmented SAUC'!C$106)+'Segmented SAUC'!C$107*#REF!</f>
        <v>#REF!</v>
      </c>
      <c r="D182" s="289" t="e">
        <f>IF(#REF!&gt;0,'Segmented SAUC'!D$98)+'Segmented SAUC'!D$99*#REF!+IF(#REF!&gt;0,'Segmented SAUC'!D$102)+'Segmented SAUC'!D$103*#REF!+IF(#REF!&gt;0,'Segmented SAUC'!D$106)+'Segmented SAUC'!D$107*#REF!</f>
        <v>#REF!</v>
      </c>
      <c r="E182" s="289" t="e">
        <f>IF(#REF!&gt;0,'Segmented SAUC'!E$98)+'Segmented SAUC'!E$99*#REF!+IF(#REF!&gt;0,'Segmented SAUC'!E$102)+'Segmented SAUC'!E$103*#REF!+IF(#REF!&gt;0,'Segmented SAUC'!E$106)+'Segmented SAUC'!E$107*#REF!</f>
        <v>#REF!</v>
      </c>
      <c r="F182" s="289" t="e">
        <f>IF(#REF!&gt;0,'Segmented SAUC'!F$98)+'Segmented SAUC'!F$99*#REF!+IF(#REF!&gt;0,'Segmented SAUC'!F$102)+'Segmented SAUC'!F$103*#REF!+IF(#REF!&gt;0,'Segmented SAUC'!F$106)+'Segmented SAUC'!F$107*#REF!</f>
        <v>#REF!</v>
      </c>
      <c r="G182" s="289" t="e">
        <f>IF(#REF!&gt;0,'Segmented SAUC'!G$98)+'Segmented SAUC'!G$99*#REF!+IF(#REF!&gt;0,'Segmented SAUC'!G$102)+'Segmented SAUC'!G$103*#REF!+IF(#REF!&gt;0,'Segmented SAUC'!G$106)+'Segmented SAUC'!G$107*#REF!</f>
        <v>#REF!</v>
      </c>
      <c r="H182" s="289" t="e">
        <f>IF(#REF!&gt;0,'Segmented SAUC'!H$98)+'Segmented SAUC'!H$99*#REF!+IF(#REF!&gt;0,'Segmented SAUC'!H$102)+'Segmented SAUC'!H$103*#REF!+IF(#REF!&gt;0,'Segmented SAUC'!H$106)+'Segmented SAUC'!H$107*#REF!</f>
        <v>#REF!</v>
      </c>
      <c r="I182" s="290" t="e">
        <f>IF(#REF!&gt;0,'Segmented SAUC'!I$98)+'Segmented SAUC'!I$99*#REF!+IF(#REF!&gt;0,'Segmented SAUC'!I$102)+'Segmented SAUC'!I$103*#REF!+IF(#REF!&gt;0,'Segmented SAUC'!I$106)+'Segmented SAUC'!I$107*#REF!</f>
        <v>#REF!</v>
      </c>
      <c r="J182" s="289" t="e">
        <f>IF(#REF!&gt;0,'Segmented SAUC'!J$98)+'Segmented SAUC'!J$99*#REF!+IF(#REF!&gt;0,'Segmented SAUC'!J$102)+'Segmented SAUC'!J$103*#REF!+IF(#REF!&gt;0,'Segmented SAUC'!J$106)+'Segmented SAUC'!J$107*#REF!</f>
        <v>#REF!</v>
      </c>
      <c r="K182" s="289" t="e">
        <f>IF(#REF!&gt;0,'Segmented SAUC'!K$98)+'Segmented SAUC'!K$99*#REF!+IF(#REF!&gt;0,'Segmented SAUC'!K$102)+'Segmented SAUC'!K$103*#REF!+IF(#REF!&gt;0,'Segmented SAUC'!K$106)+'Segmented SAUC'!K$107*#REF!</f>
        <v>#REF!</v>
      </c>
      <c r="L182" s="289" t="e">
        <f>IF(#REF!&gt;0,'Segmented SAUC'!L$98)+'Segmented SAUC'!L$99*#REF!+IF(#REF!&gt;0,'Segmented SAUC'!L$102)+'Segmented SAUC'!L$103*#REF!+IF(#REF!&gt;0,'Segmented SAUC'!L$106)+'Segmented SAUC'!L$107*#REF!</f>
        <v>#REF!</v>
      </c>
      <c r="M182" s="289" t="e">
        <f>IF(#REF!&gt;0,'Segmented SAUC'!M$98)+'Segmented SAUC'!M$99*#REF!+IF(#REF!&gt;0,'Segmented SAUC'!M$102)+'Segmented SAUC'!M$103*#REF!+IF(#REF!&gt;0,'Segmented SAUC'!M$106)+'Segmented SAUC'!M$107*#REF!</f>
        <v>#REF!</v>
      </c>
      <c r="N182" s="289" t="e">
        <f>IF(#REF!&gt;0,'Segmented SAUC'!N$98)+'Segmented SAUC'!N$99*#REF!+IF(#REF!&gt;0,'Segmented SAUC'!N$102)+'Segmented SAUC'!N$103*#REF!+IF(#REF!&gt;0,'Segmented SAUC'!N$106)+'Segmented SAUC'!N$107*#REF!</f>
        <v>#REF!</v>
      </c>
      <c r="O182" s="289" t="e">
        <f>IF(#REF!&gt;0,'Segmented SAUC'!O$98)+'Segmented SAUC'!O$99*#REF!+IF(#REF!&gt;0,'Segmented SAUC'!O$102)+'Segmented SAUC'!O$103*#REF!+IF(#REF!&gt;0,'Segmented SAUC'!O$106)+'Segmented SAUC'!O$107*#REF!</f>
        <v>#REF!</v>
      </c>
      <c r="P182" s="289" t="e">
        <f>IF(#REF!&gt;0,'Segmented SAUC'!P$98)+'Segmented SAUC'!P$99*#REF!+IF(#REF!&gt;0,'Segmented SAUC'!P$102)+'Segmented SAUC'!P$103*#REF!+IF(#REF!&gt;0,'Segmented SAUC'!P$106)+'Segmented SAUC'!P$107*#REF!</f>
        <v>#REF!</v>
      </c>
      <c r="Q182" s="289" t="e">
        <f>IF(#REF!&gt;0,'Segmented SAUC'!Q$98)+'Segmented SAUC'!Q$99*#REF!+IF(#REF!&gt;0,'Segmented SAUC'!Q$102)+'Segmented SAUC'!Q$103*#REF!+IF(#REF!&gt;0,'Segmented SAUC'!Q$106)+'Segmented SAUC'!Q$107*#REF!</f>
        <v>#REF!</v>
      </c>
      <c r="R182" s="289" t="e">
        <f>IF(#REF!&gt;0,'Segmented SAUC'!R$98)+'Segmented SAUC'!R$99*#REF!+IF(#REF!&gt;0,'Segmented SAUC'!R$102)+'Segmented SAUC'!R$103*#REF!+IF(#REF!&gt;0,'Segmented SAUC'!R$106)+'Segmented SAUC'!R$107*#REF!</f>
        <v>#REF!</v>
      </c>
    </row>
    <row r="183" spans="1:18">
      <c r="A183" s="261" t="e">
        <f>#REF!</f>
        <v>#REF!</v>
      </c>
      <c r="B183" s="289"/>
      <c r="C183" s="289" t="e">
        <f>IF(#REF!&gt;0,'Segmented SAUC'!C$98)+'Segmented SAUC'!C$99*#REF!+IF(#REF!&gt;0,'Segmented SAUC'!C$102)+'Segmented SAUC'!C$103*#REF!+IF(#REF!&gt;0,'Segmented SAUC'!C$106)+'Segmented SAUC'!C$107*#REF!</f>
        <v>#REF!</v>
      </c>
      <c r="D183" s="289" t="e">
        <f>IF(#REF!&gt;0,'Segmented SAUC'!D$98)+'Segmented SAUC'!D$99*#REF!+IF(#REF!&gt;0,'Segmented SAUC'!D$102)+'Segmented SAUC'!D$103*#REF!+IF(#REF!&gt;0,'Segmented SAUC'!D$106)+'Segmented SAUC'!D$107*#REF!</f>
        <v>#REF!</v>
      </c>
      <c r="E183" s="289" t="e">
        <f>IF(#REF!&gt;0,'Segmented SAUC'!E$98)+'Segmented SAUC'!E$99*#REF!+IF(#REF!&gt;0,'Segmented SAUC'!E$102)+'Segmented SAUC'!E$103*#REF!+IF(#REF!&gt;0,'Segmented SAUC'!E$106)+'Segmented SAUC'!E$107*#REF!</f>
        <v>#REF!</v>
      </c>
      <c r="F183" s="289" t="e">
        <f>IF(#REF!&gt;0,'Segmented SAUC'!F$98)+'Segmented SAUC'!F$99*#REF!+IF(#REF!&gt;0,'Segmented SAUC'!F$102)+'Segmented SAUC'!F$103*#REF!+IF(#REF!&gt;0,'Segmented SAUC'!F$106)+'Segmented SAUC'!F$107*#REF!</f>
        <v>#REF!</v>
      </c>
      <c r="G183" s="289" t="e">
        <f>IF(#REF!&gt;0,'Segmented SAUC'!G$98)+'Segmented SAUC'!G$99*#REF!+IF(#REF!&gt;0,'Segmented SAUC'!G$102)+'Segmented SAUC'!G$103*#REF!+IF(#REF!&gt;0,'Segmented SAUC'!G$106)+'Segmented SAUC'!G$107*#REF!</f>
        <v>#REF!</v>
      </c>
      <c r="H183" s="289" t="e">
        <f>IF(#REF!&gt;0,'Segmented SAUC'!H$98)+'Segmented SAUC'!H$99*#REF!+IF(#REF!&gt;0,'Segmented SAUC'!H$102)+'Segmented SAUC'!H$103*#REF!+IF(#REF!&gt;0,'Segmented SAUC'!H$106)+'Segmented SAUC'!H$107*#REF!</f>
        <v>#REF!</v>
      </c>
      <c r="I183" s="290" t="e">
        <f>IF(#REF!&gt;0,'Segmented SAUC'!I$98)+'Segmented SAUC'!I$99*#REF!+IF(#REF!&gt;0,'Segmented SAUC'!I$102)+'Segmented SAUC'!I$103*#REF!+IF(#REF!&gt;0,'Segmented SAUC'!I$106)+'Segmented SAUC'!I$107*#REF!</f>
        <v>#REF!</v>
      </c>
      <c r="J183" s="289" t="e">
        <f>IF(#REF!&gt;0,'Segmented SAUC'!J$98)+'Segmented SAUC'!J$99*#REF!+IF(#REF!&gt;0,'Segmented SAUC'!J$102)+'Segmented SAUC'!J$103*#REF!+IF(#REF!&gt;0,'Segmented SAUC'!J$106)+'Segmented SAUC'!J$107*#REF!</f>
        <v>#REF!</v>
      </c>
      <c r="K183" s="289" t="e">
        <f>IF(#REF!&gt;0,'Segmented SAUC'!K$98)+'Segmented SAUC'!K$99*#REF!+IF(#REF!&gt;0,'Segmented SAUC'!K$102)+'Segmented SAUC'!K$103*#REF!+IF(#REF!&gt;0,'Segmented SAUC'!K$106)+'Segmented SAUC'!K$107*#REF!</f>
        <v>#REF!</v>
      </c>
      <c r="L183" s="289" t="e">
        <f>IF(#REF!&gt;0,'Segmented SAUC'!L$98)+'Segmented SAUC'!L$99*#REF!+IF(#REF!&gt;0,'Segmented SAUC'!L$102)+'Segmented SAUC'!L$103*#REF!+IF(#REF!&gt;0,'Segmented SAUC'!L$106)+'Segmented SAUC'!L$107*#REF!</f>
        <v>#REF!</v>
      </c>
      <c r="M183" s="289" t="e">
        <f>IF(#REF!&gt;0,'Segmented SAUC'!M$98)+'Segmented SAUC'!M$99*#REF!+IF(#REF!&gt;0,'Segmented SAUC'!M$102)+'Segmented SAUC'!M$103*#REF!+IF(#REF!&gt;0,'Segmented SAUC'!M$106)+'Segmented SAUC'!M$107*#REF!</f>
        <v>#REF!</v>
      </c>
      <c r="N183" s="289" t="e">
        <f>IF(#REF!&gt;0,'Segmented SAUC'!N$98)+'Segmented SAUC'!N$99*#REF!+IF(#REF!&gt;0,'Segmented SAUC'!N$102)+'Segmented SAUC'!N$103*#REF!+IF(#REF!&gt;0,'Segmented SAUC'!N$106)+'Segmented SAUC'!N$107*#REF!</f>
        <v>#REF!</v>
      </c>
      <c r="O183" s="289" t="e">
        <f>IF(#REF!&gt;0,'Segmented SAUC'!O$98)+'Segmented SAUC'!O$99*#REF!+IF(#REF!&gt;0,'Segmented SAUC'!O$102)+'Segmented SAUC'!O$103*#REF!+IF(#REF!&gt;0,'Segmented SAUC'!O$106)+'Segmented SAUC'!O$107*#REF!</f>
        <v>#REF!</v>
      </c>
      <c r="P183" s="289" t="e">
        <f>IF(#REF!&gt;0,'Segmented SAUC'!P$98)+'Segmented SAUC'!P$99*#REF!+IF(#REF!&gt;0,'Segmented SAUC'!P$102)+'Segmented SAUC'!P$103*#REF!+IF(#REF!&gt;0,'Segmented SAUC'!P$106)+'Segmented SAUC'!P$107*#REF!</f>
        <v>#REF!</v>
      </c>
      <c r="Q183" s="289" t="e">
        <f>IF(#REF!&gt;0,'Segmented SAUC'!Q$98)+'Segmented SAUC'!Q$99*#REF!+IF(#REF!&gt;0,'Segmented SAUC'!Q$102)+'Segmented SAUC'!Q$103*#REF!+IF(#REF!&gt;0,'Segmented SAUC'!Q$106)+'Segmented SAUC'!Q$107*#REF!</f>
        <v>#REF!</v>
      </c>
      <c r="R183" s="289" t="e">
        <f>IF(#REF!&gt;0,'Segmented SAUC'!R$98)+'Segmented SAUC'!R$99*#REF!+IF(#REF!&gt;0,'Segmented SAUC'!R$102)+'Segmented SAUC'!R$103*#REF!+IF(#REF!&gt;0,'Segmented SAUC'!R$106)+'Segmented SAUC'!R$107*#REF!</f>
        <v>#REF!</v>
      </c>
    </row>
    <row r="184" spans="1:18">
      <c r="A184" s="261" t="e">
        <f>#REF!</f>
        <v>#REF!</v>
      </c>
      <c r="B184" s="289"/>
      <c r="C184" s="289" t="e">
        <f>IF(#REF!&gt;0,'Segmented SAUC'!C$98)+'Segmented SAUC'!C$99*#REF!+IF(#REF!&gt;0,'Segmented SAUC'!C$102)+'Segmented SAUC'!C$103*#REF!+IF(#REF!&gt;0,'Segmented SAUC'!C$106)+'Segmented SAUC'!C$107*#REF!</f>
        <v>#REF!</v>
      </c>
      <c r="D184" s="289" t="e">
        <f>IF(#REF!&gt;0,'Segmented SAUC'!D$98)+'Segmented SAUC'!D$99*#REF!+IF(#REF!&gt;0,'Segmented SAUC'!D$102)+'Segmented SAUC'!D$103*#REF!+IF(#REF!&gt;0,'Segmented SAUC'!D$106)+'Segmented SAUC'!D$107*#REF!</f>
        <v>#REF!</v>
      </c>
      <c r="E184" s="289" t="e">
        <f>IF(#REF!&gt;0,'Segmented SAUC'!E$98)+'Segmented SAUC'!E$99*#REF!+IF(#REF!&gt;0,'Segmented SAUC'!E$102)+'Segmented SAUC'!E$103*#REF!+IF(#REF!&gt;0,'Segmented SAUC'!E$106)+'Segmented SAUC'!E$107*#REF!</f>
        <v>#REF!</v>
      </c>
      <c r="F184" s="289" t="e">
        <f>IF(#REF!&gt;0,'Segmented SAUC'!F$98)+'Segmented SAUC'!F$99*#REF!+IF(#REF!&gt;0,'Segmented SAUC'!F$102)+'Segmented SAUC'!F$103*#REF!+IF(#REF!&gt;0,'Segmented SAUC'!F$106)+'Segmented SAUC'!F$107*#REF!</f>
        <v>#REF!</v>
      </c>
      <c r="G184" s="289" t="e">
        <f>IF(#REF!&gt;0,'Segmented SAUC'!G$98)+'Segmented SAUC'!G$99*#REF!+IF(#REF!&gt;0,'Segmented SAUC'!G$102)+'Segmented SAUC'!G$103*#REF!+IF(#REF!&gt;0,'Segmented SAUC'!G$106)+'Segmented SAUC'!G$107*#REF!</f>
        <v>#REF!</v>
      </c>
      <c r="H184" s="289" t="e">
        <f>IF(#REF!&gt;0,'Segmented SAUC'!H$98)+'Segmented SAUC'!H$99*#REF!+IF(#REF!&gt;0,'Segmented SAUC'!H$102)+'Segmented SAUC'!H$103*#REF!+IF(#REF!&gt;0,'Segmented SAUC'!H$106)+'Segmented SAUC'!H$107*#REF!</f>
        <v>#REF!</v>
      </c>
      <c r="I184" s="290" t="e">
        <f>IF(#REF!&gt;0,'Segmented SAUC'!I$98)+'Segmented SAUC'!I$99*#REF!+IF(#REF!&gt;0,'Segmented SAUC'!I$102)+'Segmented SAUC'!I$103*#REF!+IF(#REF!&gt;0,'Segmented SAUC'!I$106)+'Segmented SAUC'!I$107*#REF!</f>
        <v>#REF!</v>
      </c>
      <c r="J184" s="289" t="e">
        <f>IF(#REF!&gt;0,'Segmented SAUC'!J$98)+'Segmented SAUC'!J$99*#REF!+IF(#REF!&gt;0,'Segmented SAUC'!J$102)+'Segmented SAUC'!J$103*#REF!+IF(#REF!&gt;0,'Segmented SAUC'!J$106)+'Segmented SAUC'!J$107*#REF!</f>
        <v>#REF!</v>
      </c>
      <c r="K184" s="289" t="e">
        <f>IF(#REF!&gt;0,'Segmented SAUC'!K$98)+'Segmented SAUC'!K$99*#REF!+IF(#REF!&gt;0,'Segmented SAUC'!K$102)+'Segmented SAUC'!K$103*#REF!+IF(#REF!&gt;0,'Segmented SAUC'!K$106)+'Segmented SAUC'!K$107*#REF!</f>
        <v>#REF!</v>
      </c>
      <c r="L184" s="289" t="e">
        <f>IF(#REF!&gt;0,'Segmented SAUC'!L$98)+'Segmented SAUC'!L$99*#REF!+IF(#REF!&gt;0,'Segmented SAUC'!L$102)+'Segmented SAUC'!L$103*#REF!+IF(#REF!&gt;0,'Segmented SAUC'!L$106)+'Segmented SAUC'!L$107*#REF!</f>
        <v>#REF!</v>
      </c>
      <c r="M184" s="289" t="e">
        <f>IF(#REF!&gt;0,'Segmented SAUC'!M$98)+'Segmented SAUC'!M$99*#REF!+IF(#REF!&gt;0,'Segmented SAUC'!M$102)+'Segmented SAUC'!M$103*#REF!+IF(#REF!&gt;0,'Segmented SAUC'!M$106)+'Segmented SAUC'!M$107*#REF!</f>
        <v>#REF!</v>
      </c>
      <c r="N184" s="289" t="e">
        <f>IF(#REF!&gt;0,'Segmented SAUC'!N$98)+'Segmented SAUC'!N$99*#REF!+IF(#REF!&gt;0,'Segmented SAUC'!N$102)+'Segmented SAUC'!N$103*#REF!+IF(#REF!&gt;0,'Segmented SAUC'!N$106)+'Segmented SAUC'!N$107*#REF!</f>
        <v>#REF!</v>
      </c>
      <c r="O184" s="289" t="e">
        <f>IF(#REF!&gt;0,'Segmented SAUC'!O$98)+'Segmented SAUC'!O$99*#REF!+IF(#REF!&gt;0,'Segmented SAUC'!O$102)+'Segmented SAUC'!O$103*#REF!+IF(#REF!&gt;0,'Segmented SAUC'!O$106)+'Segmented SAUC'!O$107*#REF!</f>
        <v>#REF!</v>
      </c>
      <c r="P184" s="289" t="e">
        <f>IF(#REF!&gt;0,'Segmented SAUC'!P$98)+'Segmented SAUC'!P$99*#REF!+IF(#REF!&gt;0,'Segmented SAUC'!P$102)+'Segmented SAUC'!P$103*#REF!+IF(#REF!&gt;0,'Segmented SAUC'!P$106)+'Segmented SAUC'!P$107*#REF!</f>
        <v>#REF!</v>
      </c>
      <c r="Q184" s="289" t="e">
        <f>IF(#REF!&gt;0,'Segmented SAUC'!Q$98)+'Segmented SAUC'!Q$99*#REF!+IF(#REF!&gt;0,'Segmented SAUC'!Q$102)+'Segmented SAUC'!Q$103*#REF!+IF(#REF!&gt;0,'Segmented SAUC'!Q$106)+'Segmented SAUC'!Q$107*#REF!</f>
        <v>#REF!</v>
      </c>
      <c r="R184" s="289" t="e">
        <f>IF(#REF!&gt;0,'Segmented SAUC'!R$98)+'Segmented SAUC'!R$99*#REF!+IF(#REF!&gt;0,'Segmented SAUC'!R$102)+'Segmented SAUC'!R$103*#REF!+IF(#REF!&gt;0,'Segmented SAUC'!R$106)+'Segmented SAUC'!R$107*#REF!</f>
        <v>#REF!</v>
      </c>
    </row>
    <row r="185" spans="1:18">
      <c r="A185" s="261" t="e">
        <f>#REF!</f>
        <v>#REF!</v>
      </c>
      <c r="B185" s="289"/>
      <c r="C185" s="289" t="e">
        <f>IF(#REF!&gt;0,'Segmented SAUC'!C$98)+'Segmented SAUC'!C$99*#REF!+IF(#REF!&gt;0,'Segmented SAUC'!C$102)+'Segmented SAUC'!C$103*#REF!+IF(#REF!&gt;0,'Segmented SAUC'!C$106)+'Segmented SAUC'!C$107*#REF!</f>
        <v>#REF!</v>
      </c>
      <c r="D185" s="289" t="e">
        <f>IF(#REF!&gt;0,'Segmented SAUC'!D$98)+'Segmented SAUC'!D$99*#REF!+IF(#REF!&gt;0,'Segmented SAUC'!D$102)+'Segmented SAUC'!D$103*#REF!+IF(#REF!&gt;0,'Segmented SAUC'!D$106)+'Segmented SAUC'!D$107*#REF!</f>
        <v>#REF!</v>
      </c>
      <c r="E185" s="289" t="e">
        <f>IF(#REF!&gt;0,'Segmented SAUC'!E$98)+'Segmented SAUC'!E$99*#REF!+IF(#REF!&gt;0,'Segmented SAUC'!E$102)+'Segmented SAUC'!E$103*#REF!+IF(#REF!&gt;0,'Segmented SAUC'!E$106)+'Segmented SAUC'!E$107*#REF!</f>
        <v>#REF!</v>
      </c>
      <c r="F185" s="289" t="e">
        <f>IF(#REF!&gt;0,'Segmented SAUC'!F$98)+'Segmented SAUC'!F$99*#REF!+IF(#REF!&gt;0,'Segmented SAUC'!F$102)+'Segmented SAUC'!F$103*#REF!+IF(#REF!&gt;0,'Segmented SAUC'!F$106)+'Segmented SAUC'!F$107*#REF!</f>
        <v>#REF!</v>
      </c>
      <c r="G185" s="289" t="e">
        <f>IF(#REF!&gt;0,'Segmented SAUC'!G$98)+'Segmented SAUC'!G$99*#REF!+IF(#REF!&gt;0,'Segmented SAUC'!G$102)+'Segmented SAUC'!G$103*#REF!+IF(#REF!&gt;0,'Segmented SAUC'!G$106)+'Segmented SAUC'!G$107*#REF!</f>
        <v>#REF!</v>
      </c>
      <c r="H185" s="289" t="e">
        <f>IF(#REF!&gt;0,'Segmented SAUC'!H$98)+'Segmented SAUC'!H$99*#REF!+IF(#REF!&gt;0,'Segmented SAUC'!H$102)+'Segmented SAUC'!H$103*#REF!+IF(#REF!&gt;0,'Segmented SAUC'!H$106)+'Segmented SAUC'!H$107*#REF!</f>
        <v>#REF!</v>
      </c>
      <c r="I185" s="290" t="e">
        <f>IF(#REF!&gt;0,'Segmented SAUC'!I$98)+'Segmented SAUC'!I$99*#REF!+IF(#REF!&gt;0,'Segmented SAUC'!I$102)+'Segmented SAUC'!I$103*#REF!+IF(#REF!&gt;0,'Segmented SAUC'!I$106)+'Segmented SAUC'!I$107*#REF!</f>
        <v>#REF!</v>
      </c>
      <c r="J185" s="289" t="e">
        <f>IF(#REF!&gt;0,'Segmented SAUC'!J$98)+'Segmented SAUC'!J$99*#REF!+IF(#REF!&gt;0,'Segmented SAUC'!J$102)+'Segmented SAUC'!J$103*#REF!+IF(#REF!&gt;0,'Segmented SAUC'!J$106)+'Segmented SAUC'!J$107*#REF!</f>
        <v>#REF!</v>
      </c>
      <c r="K185" s="289" t="e">
        <f>IF(#REF!&gt;0,'Segmented SAUC'!K$98)+'Segmented SAUC'!K$99*#REF!+IF(#REF!&gt;0,'Segmented SAUC'!K$102)+'Segmented SAUC'!K$103*#REF!+IF(#REF!&gt;0,'Segmented SAUC'!K$106)+'Segmented SAUC'!K$107*#REF!</f>
        <v>#REF!</v>
      </c>
      <c r="L185" s="289" t="e">
        <f>IF(#REF!&gt;0,'Segmented SAUC'!L$98)+'Segmented SAUC'!L$99*#REF!+IF(#REF!&gt;0,'Segmented SAUC'!L$102)+'Segmented SAUC'!L$103*#REF!+IF(#REF!&gt;0,'Segmented SAUC'!L$106)+'Segmented SAUC'!L$107*#REF!</f>
        <v>#REF!</v>
      </c>
      <c r="M185" s="289" t="e">
        <f>IF(#REF!&gt;0,'Segmented SAUC'!M$98)+'Segmented SAUC'!M$99*#REF!+IF(#REF!&gt;0,'Segmented SAUC'!M$102)+'Segmented SAUC'!M$103*#REF!+IF(#REF!&gt;0,'Segmented SAUC'!M$106)+'Segmented SAUC'!M$107*#REF!</f>
        <v>#REF!</v>
      </c>
      <c r="N185" s="289" t="e">
        <f>IF(#REF!&gt;0,'Segmented SAUC'!N$98)+'Segmented SAUC'!N$99*#REF!+IF(#REF!&gt;0,'Segmented SAUC'!N$102)+'Segmented SAUC'!N$103*#REF!+IF(#REF!&gt;0,'Segmented SAUC'!N$106)+'Segmented SAUC'!N$107*#REF!</f>
        <v>#REF!</v>
      </c>
      <c r="O185" s="289" t="e">
        <f>IF(#REF!&gt;0,'Segmented SAUC'!O$98)+'Segmented SAUC'!O$99*#REF!+IF(#REF!&gt;0,'Segmented SAUC'!O$102)+'Segmented SAUC'!O$103*#REF!+IF(#REF!&gt;0,'Segmented SAUC'!O$106)+'Segmented SAUC'!O$107*#REF!</f>
        <v>#REF!</v>
      </c>
      <c r="P185" s="289" t="e">
        <f>IF(#REF!&gt;0,'Segmented SAUC'!P$98)+'Segmented SAUC'!P$99*#REF!+IF(#REF!&gt;0,'Segmented SAUC'!P$102)+'Segmented SAUC'!P$103*#REF!+IF(#REF!&gt;0,'Segmented SAUC'!P$106)+'Segmented SAUC'!P$107*#REF!</f>
        <v>#REF!</v>
      </c>
      <c r="Q185" s="289" t="e">
        <f>IF(#REF!&gt;0,'Segmented SAUC'!Q$98)+'Segmented SAUC'!Q$99*#REF!+IF(#REF!&gt;0,'Segmented SAUC'!Q$102)+'Segmented SAUC'!Q$103*#REF!+IF(#REF!&gt;0,'Segmented SAUC'!Q$106)+'Segmented SAUC'!Q$107*#REF!</f>
        <v>#REF!</v>
      </c>
      <c r="R185" s="289" t="e">
        <f>IF(#REF!&gt;0,'Segmented SAUC'!R$98)+'Segmented SAUC'!R$99*#REF!+IF(#REF!&gt;0,'Segmented SAUC'!R$102)+'Segmented SAUC'!R$103*#REF!+IF(#REF!&gt;0,'Segmented SAUC'!R$106)+'Segmented SAUC'!R$107*#REF!</f>
        <v>#REF!</v>
      </c>
    </row>
    <row r="186" spans="1:18">
      <c r="A186" s="261" t="e">
        <f>#REF!</f>
        <v>#REF!</v>
      </c>
      <c r="B186" s="289"/>
      <c r="C186" s="289" t="e">
        <f>IF(#REF!&gt;0,'Segmented SAUC'!C$98)+'Segmented SAUC'!C$99*#REF!+IF(#REF!&gt;0,'Segmented SAUC'!C$102)+'Segmented SAUC'!C$103*#REF!+IF(#REF!&gt;0,'Segmented SAUC'!C$106)+'Segmented SAUC'!C$107*#REF!</f>
        <v>#REF!</v>
      </c>
      <c r="D186" s="289" t="e">
        <f>IF(#REF!&gt;0,'Segmented SAUC'!D$98)+'Segmented SAUC'!D$99*#REF!+IF(#REF!&gt;0,'Segmented SAUC'!D$102)+'Segmented SAUC'!D$103*#REF!+IF(#REF!&gt;0,'Segmented SAUC'!D$106)+'Segmented SAUC'!D$107*#REF!</f>
        <v>#REF!</v>
      </c>
      <c r="E186" s="289" t="e">
        <f>IF(#REF!&gt;0,'Segmented SAUC'!E$98)+'Segmented SAUC'!E$99*#REF!+IF(#REF!&gt;0,'Segmented SAUC'!E$102)+'Segmented SAUC'!E$103*#REF!+IF(#REF!&gt;0,'Segmented SAUC'!E$106)+'Segmented SAUC'!E$107*#REF!</f>
        <v>#REF!</v>
      </c>
      <c r="F186" s="289" t="e">
        <f>IF(#REF!&gt;0,'Segmented SAUC'!F$98)+'Segmented SAUC'!F$99*#REF!+IF(#REF!&gt;0,'Segmented SAUC'!F$102)+'Segmented SAUC'!F$103*#REF!+IF(#REF!&gt;0,'Segmented SAUC'!F$106)+'Segmented SAUC'!F$107*#REF!</f>
        <v>#REF!</v>
      </c>
      <c r="G186" s="289" t="e">
        <f>IF(#REF!&gt;0,'Segmented SAUC'!G$98)+'Segmented SAUC'!G$99*#REF!+IF(#REF!&gt;0,'Segmented SAUC'!G$102)+'Segmented SAUC'!G$103*#REF!+IF(#REF!&gt;0,'Segmented SAUC'!G$106)+'Segmented SAUC'!G$107*#REF!</f>
        <v>#REF!</v>
      </c>
      <c r="H186" s="289" t="e">
        <f>IF(#REF!&gt;0,'Segmented SAUC'!H$98)+'Segmented SAUC'!H$99*#REF!+IF(#REF!&gt;0,'Segmented SAUC'!H$102)+'Segmented SAUC'!H$103*#REF!+IF(#REF!&gt;0,'Segmented SAUC'!H$106)+'Segmented SAUC'!H$107*#REF!</f>
        <v>#REF!</v>
      </c>
      <c r="I186" s="290" t="e">
        <f>IF(#REF!&gt;0,'Segmented SAUC'!I$98)+'Segmented SAUC'!I$99*#REF!+IF(#REF!&gt;0,'Segmented SAUC'!I$102)+'Segmented SAUC'!I$103*#REF!+IF(#REF!&gt;0,'Segmented SAUC'!I$106)+'Segmented SAUC'!I$107*#REF!</f>
        <v>#REF!</v>
      </c>
      <c r="J186" s="289" t="e">
        <f>IF(#REF!&gt;0,'Segmented SAUC'!J$98)+'Segmented SAUC'!J$99*#REF!+IF(#REF!&gt;0,'Segmented SAUC'!J$102)+'Segmented SAUC'!J$103*#REF!+IF(#REF!&gt;0,'Segmented SAUC'!J$106)+'Segmented SAUC'!J$107*#REF!</f>
        <v>#REF!</v>
      </c>
      <c r="K186" s="289" t="e">
        <f>IF(#REF!&gt;0,'Segmented SAUC'!K$98)+'Segmented SAUC'!K$99*#REF!+IF(#REF!&gt;0,'Segmented SAUC'!K$102)+'Segmented SAUC'!K$103*#REF!+IF(#REF!&gt;0,'Segmented SAUC'!K$106)+'Segmented SAUC'!K$107*#REF!</f>
        <v>#REF!</v>
      </c>
      <c r="L186" s="289" t="e">
        <f>IF(#REF!&gt;0,'Segmented SAUC'!L$98)+'Segmented SAUC'!L$99*#REF!+IF(#REF!&gt;0,'Segmented SAUC'!L$102)+'Segmented SAUC'!L$103*#REF!+IF(#REF!&gt;0,'Segmented SAUC'!L$106)+'Segmented SAUC'!L$107*#REF!</f>
        <v>#REF!</v>
      </c>
      <c r="M186" s="289" t="e">
        <f>IF(#REF!&gt;0,'Segmented SAUC'!M$98)+'Segmented SAUC'!M$99*#REF!+IF(#REF!&gt;0,'Segmented SAUC'!M$102)+'Segmented SAUC'!M$103*#REF!+IF(#REF!&gt;0,'Segmented SAUC'!M$106)+'Segmented SAUC'!M$107*#REF!</f>
        <v>#REF!</v>
      </c>
      <c r="N186" s="289" t="e">
        <f>IF(#REF!&gt;0,'Segmented SAUC'!N$98)+'Segmented SAUC'!N$99*#REF!+IF(#REF!&gt;0,'Segmented SAUC'!N$102)+'Segmented SAUC'!N$103*#REF!+IF(#REF!&gt;0,'Segmented SAUC'!N$106)+'Segmented SAUC'!N$107*#REF!</f>
        <v>#REF!</v>
      </c>
      <c r="O186" s="289" t="e">
        <f>IF(#REF!&gt;0,'Segmented SAUC'!O$98)+'Segmented SAUC'!O$99*#REF!+IF(#REF!&gt;0,'Segmented SAUC'!O$102)+'Segmented SAUC'!O$103*#REF!+IF(#REF!&gt;0,'Segmented SAUC'!O$106)+'Segmented SAUC'!O$107*#REF!</f>
        <v>#REF!</v>
      </c>
      <c r="P186" s="289" t="e">
        <f>IF(#REF!&gt;0,'Segmented SAUC'!P$98)+'Segmented SAUC'!P$99*#REF!+IF(#REF!&gt;0,'Segmented SAUC'!P$102)+'Segmented SAUC'!P$103*#REF!+IF(#REF!&gt;0,'Segmented SAUC'!P$106)+'Segmented SAUC'!P$107*#REF!</f>
        <v>#REF!</v>
      </c>
      <c r="Q186" s="289" t="e">
        <f>IF(#REF!&gt;0,'Segmented SAUC'!Q$98)+'Segmented SAUC'!Q$99*#REF!+IF(#REF!&gt;0,'Segmented SAUC'!Q$102)+'Segmented SAUC'!Q$103*#REF!+IF(#REF!&gt;0,'Segmented SAUC'!Q$106)+'Segmented SAUC'!Q$107*#REF!</f>
        <v>#REF!</v>
      </c>
      <c r="R186" s="289" t="e">
        <f>IF(#REF!&gt;0,'Segmented SAUC'!R$98)+'Segmented SAUC'!R$99*#REF!+IF(#REF!&gt;0,'Segmented SAUC'!R$102)+'Segmented SAUC'!R$103*#REF!+IF(#REF!&gt;0,'Segmented SAUC'!R$106)+'Segmented SAUC'!R$107*#REF!</f>
        <v>#REF!</v>
      </c>
    </row>
    <row r="187" spans="1:18">
      <c r="A187" s="261" t="e">
        <f>#REF!</f>
        <v>#REF!</v>
      </c>
      <c r="B187" s="289"/>
      <c r="C187" s="289" t="e">
        <f>IF(#REF!&gt;0,'Segmented SAUC'!C$98)+'Segmented SAUC'!C$99*#REF!+IF(#REF!&gt;0,'Segmented SAUC'!C$102)+'Segmented SAUC'!C$103*#REF!+IF(#REF!&gt;0,'Segmented SAUC'!C$106)+'Segmented SAUC'!C$107*#REF!</f>
        <v>#REF!</v>
      </c>
      <c r="D187" s="289" t="e">
        <f>IF(#REF!&gt;0,'Segmented SAUC'!D$98)+'Segmented SAUC'!D$99*#REF!+IF(#REF!&gt;0,'Segmented SAUC'!D$102)+'Segmented SAUC'!D$103*#REF!+IF(#REF!&gt;0,'Segmented SAUC'!D$106)+'Segmented SAUC'!D$107*#REF!</f>
        <v>#REF!</v>
      </c>
      <c r="E187" s="289" t="e">
        <f>IF(#REF!&gt;0,'Segmented SAUC'!E$98)+'Segmented SAUC'!E$99*#REF!+IF(#REF!&gt;0,'Segmented SAUC'!E$102)+'Segmented SAUC'!E$103*#REF!+IF(#REF!&gt;0,'Segmented SAUC'!E$106)+'Segmented SAUC'!E$107*#REF!</f>
        <v>#REF!</v>
      </c>
      <c r="F187" s="289" t="e">
        <f>IF(#REF!&gt;0,'Segmented SAUC'!F$98)+'Segmented SAUC'!F$99*#REF!+IF(#REF!&gt;0,'Segmented SAUC'!F$102)+'Segmented SAUC'!F$103*#REF!+IF(#REF!&gt;0,'Segmented SAUC'!F$106)+'Segmented SAUC'!F$107*#REF!</f>
        <v>#REF!</v>
      </c>
      <c r="G187" s="289" t="e">
        <f>IF(#REF!&gt;0,'Segmented SAUC'!G$98)+'Segmented SAUC'!G$99*#REF!+IF(#REF!&gt;0,'Segmented SAUC'!G$102)+'Segmented SAUC'!G$103*#REF!+IF(#REF!&gt;0,'Segmented SAUC'!G$106)+'Segmented SAUC'!G$107*#REF!</f>
        <v>#REF!</v>
      </c>
      <c r="H187" s="289" t="e">
        <f>IF(#REF!&gt;0,'Segmented SAUC'!H$98)+'Segmented SAUC'!H$99*#REF!+IF(#REF!&gt;0,'Segmented SAUC'!H$102)+'Segmented SAUC'!H$103*#REF!+IF(#REF!&gt;0,'Segmented SAUC'!H$106)+'Segmented SAUC'!H$107*#REF!</f>
        <v>#REF!</v>
      </c>
      <c r="I187" s="290" t="e">
        <f>IF(#REF!&gt;0,'Segmented SAUC'!I$98)+'Segmented SAUC'!I$99*#REF!+IF(#REF!&gt;0,'Segmented SAUC'!I$102)+'Segmented SAUC'!I$103*#REF!+IF(#REF!&gt;0,'Segmented SAUC'!I$106)+'Segmented SAUC'!I$107*#REF!</f>
        <v>#REF!</v>
      </c>
      <c r="J187" s="289" t="e">
        <f>IF(#REF!&gt;0,'Segmented SAUC'!J$98)+'Segmented SAUC'!J$99*#REF!+IF(#REF!&gt;0,'Segmented SAUC'!J$102)+'Segmented SAUC'!J$103*#REF!+IF(#REF!&gt;0,'Segmented SAUC'!J$106)+'Segmented SAUC'!J$107*#REF!</f>
        <v>#REF!</v>
      </c>
      <c r="K187" s="289" t="e">
        <f>IF(#REF!&gt;0,'Segmented SAUC'!K$98)+'Segmented SAUC'!K$99*#REF!+IF(#REF!&gt;0,'Segmented SAUC'!K$102)+'Segmented SAUC'!K$103*#REF!+IF(#REF!&gt;0,'Segmented SAUC'!K$106)+'Segmented SAUC'!K$107*#REF!</f>
        <v>#REF!</v>
      </c>
      <c r="L187" s="289" t="e">
        <f>IF(#REF!&gt;0,'Segmented SAUC'!L$98)+'Segmented SAUC'!L$99*#REF!+IF(#REF!&gt;0,'Segmented SAUC'!L$102)+'Segmented SAUC'!L$103*#REF!+IF(#REF!&gt;0,'Segmented SAUC'!L$106)+'Segmented SAUC'!L$107*#REF!</f>
        <v>#REF!</v>
      </c>
      <c r="M187" s="289" t="e">
        <f>IF(#REF!&gt;0,'Segmented SAUC'!M$98)+'Segmented SAUC'!M$99*#REF!+IF(#REF!&gt;0,'Segmented SAUC'!M$102)+'Segmented SAUC'!M$103*#REF!+IF(#REF!&gt;0,'Segmented SAUC'!M$106)+'Segmented SAUC'!M$107*#REF!</f>
        <v>#REF!</v>
      </c>
      <c r="N187" s="289" t="e">
        <f>IF(#REF!&gt;0,'Segmented SAUC'!N$98)+'Segmented SAUC'!N$99*#REF!+IF(#REF!&gt;0,'Segmented SAUC'!N$102)+'Segmented SAUC'!N$103*#REF!+IF(#REF!&gt;0,'Segmented SAUC'!N$106)+'Segmented SAUC'!N$107*#REF!</f>
        <v>#REF!</v>
      </c>
      <c r="O187" s="289" t="e">
        <f>IF(#REF!&gt;0,'Segmented SAUC'!O$98)+'Segmented SAUC'!O$99*#REF!+IF(#REF!&gt;0,'Segmented SAUC'!O$102)+'Segmented SAUC'!O$103*#REF!+IF(#REF!&gt;0,'Segmented SAUC'!O$106)+'Segmented SAUC'!O$107*#REF!</f>
        <v>#REF!</v>
      </c>
      <c r="P187" s="289" t="e">
        <f>IF(#REF!&gt;0,'Segmented SAUC'!P$98)+'Segmented SAUC'!P$99*#REF!+IF(#REF!&gt;0,'Segmented SAUC'!P$102)+'Segmented SAUC'!P$103*#REF!+IF(#REF!&gt;0,'Segmented SAUC'!P$106)+'Segmented SAUC'!P$107*#REF!</f>
        <v>#REF!</v>
      </c>
      <c r="Q187" s="289" t="e">
        <f>IF(#REF!&gt;0,'Segmented SAUC'!Q$98)+'Segmented SAUC'!Q$99*#REF!+IF(#REF!&gt;0,'Segmented SAUC'!Q$102)+'Segmented SAUC'!Q$103*#REF!+IF(#REF!&gt;0,'Segmented SAUC'!Q$106)+'Segmented SAUC'!Q$107*#REF!</f>
        <v>#REF!</v>
      </c>
      <c r="R187" s="289" t="e">
        <f>IF(#REF!&gt;0,'Segmented SAUC'!R$98)+'Segmented SAUC'!R$99*#REF!+IF(#REF!&gt;0,'Segmented SAUC'!R$102)+'Segmented SAUC'!R$103*#REF!+IF(#REF!&gt;0,'Segmented SAUC'!R$106)+'Segmented SAUC'!R$107*#REF!</f>
        <v>#REF!</v>
      </c>
    </row>
    <row r="188" spans="1:18">
      <c r="A188" s="261" t="e">
        <f>#REF!</f>
        <v>#REF!</v>
      </c>
      <c r="B188" s="289"/>
      <c r="C188" s="289" t="e">
        <f>IF(#REF!&gt;0,'Segmented SAUC'!C$98)+'Segmented SAUC'!C$99*#REF!+IF(#REF!&gt;0,'Segmented SAUC'!C$102)+'Segmented SAUC'!C$103*#REF!+IF(#REF!&gt;0,'Segmented SAUC'!C$106)+'Segmented SAUC'!C$107*#REF!</f>
        <v>#REF!</v>
      </c>
      <c r="D188" s="289" t="e">
        <f>IF(#REF!&gt;0,'Segmented SAUC'!D$98)+'Segmented SAUC'!D$99*#REF!+IF(#REF!&gt;0,'Segmented SAUC'!D$102)+'Segmented SAUC'!D$103*#REF!+IF(#REF!&gt;0,'Segmented SAUC'!D$106)+'Segmented SAUC'!D$107*#REF!</f>
        <v>#REF!</v>
      </c>
      <c r="E188" s="289" t="e">
        <f>IF(#REF!&gt;0,'Segmented SAUC'!E$98)+'Segmented SAUC'!E$99*#REF!+IF(#REF!&gt;0,'Segmented SAUC'!E$102)+'Segmented SAUC'!E$103*#REF!+IF(#REF!&gt;0,'Segmented SAUC'!E$106)+'Segmented SAUC'!E$107*#REF!</f>
        <v>#REF!</v>
      </c>
      <c r="F188" s="289" t="e">
        <f>IF(#REF!&gt;0,'Segmented SAUC'!F$98)+'Segmented SAUC'!F$99*#REF!+IF(#REF!&gt;0,'Segmented SAUC'!F$102)+'Segmented SAUC'!F$103*#REF!+IF(#REF!&gt;0,'Segmented SAUC'!F$106)+'Segmented SAUC'!F$107*#REF!</f>
        <v>#REF!</v>
      </c>
      <c r="G188" s="289" t="e">
        <f>IF(#REF!&gt;0,'Segmented SAUC'!G$98)+'Segmented SAUC'!G$99*#REF!+IF(#REF!&gt;0,'Segmented SAUC'!G$102)+'Segmented SAUC'!G$103*#REF!+IF(#REF!&gt;0,'Segmented SAUC'!G$106)+'Segmented SAUC'!G$107*#REF!</f>
        <v>#REF!</v>
      </c>
      <c r="H188" s="289" t="e">
        <f>IF(#REF!&gt;0,'Segmented SAUC'!H$98)+'Segmented SAUC'!H$99*#REF!+IF(#REF!&gt;0,'Segmented SAUC'!H$102)+'Segmented SAUC'!H$103*#REF!+IF(#REF!&gt;0,'Segmented SAUC'!H$106)+'Segmented SAUC'!H$107*#REF!</f>
        <v>#REF!</v>
      </c>
      <c r="I188" s="290" t="e">
        <f>IF(#REF!&gt;0,'Segmented SAUC'!I$98)+'Segmented SAUC'!I$99*#REF!+IF(#REF!&gt;0,'Segmented SAUC'!I$102)+'Segmented SAUC'!I$103*#REF!+IF(#REF!&gt;0,'Segmented SAUC'!I$106)+'Segmented SAUC'!I$107*#REF!</f>
        <v>#REF!</v>
      </c>
      <c r="J188" s="289" t="e">
        <f>IF(#REF!&gt;0,'Segmented SAUC'!J$98)+'Segmented SAUC'!J$99*#REF!+IF(#REF!&gt;0,'Segmented SAUC'!J$102)+'Segmented SAUC'!J$103*#REF!+IF(#REF!&gt;0,'Segmented SAUC'!J$106)+'Segmented SAUC'!J$107*#REF!</f>
        <v>#REF!</v>
      </c>
      <c r="K188" s="289" t="e">
        <f>IF(#REF!&gt;0,'Segmented SAUC'!K$98)+'Segmented SAUC'!K$99*#REF!+IF(#REF!&gt;0,'Segmented SAUC'!K$102)+'Segmented SAUC'!K$103*#REF!+IF(#REF!&gt;0,'Segmented SAUC'!K$106)+'Segmented SAUC'!K$107*#REF!</f>
        <v>#REF!</v>
      </c>
      <c r="L188" s="289" t="e">
        <f>IF(#REF!&gt;0,'Segmented SAUC'!L$98)+'Segmented SAUC'!L$99*#REF!+IF(#REF!&gt;0,'Segmented SAUC'!L$102)+'Segmented SAUC'!L$103*#REF!+IF(#REF!&gt;0,'Segmented SAUC'!L$106)+'Segmented SAUC'!L$107*#REF!</f>
        <v>#REF!</v>
      </c>
      <c r="M188" s="289" t="e">
        <f>IF(#REF!&gt;0,'Segmented SAUC'!M$98)+'Segmented SAUC'!M$99*#REF!+IF(#REF!&gt;0,'Segmented SAUC'!M$102)+'Segmented SAUC'!M$103*#REF!+IF(#REF!&gt;0,'Segmented SAUC'!M$106)+'Segmented SAUC'!M$107*#REF!</f>
        <v>#REF!</v>
      </c>
      <c r="N188" s="289" t="e">
        <f>IF(#REF!&gt;0,'Segmented SAUC'!N$98)+'Segmented SAUC'!N$99*#REF!+IF(#REF!&gt;0,'Segmented SAUC'!N$102)+'Segmented SAUC'!N$103*#REF!+IF(#REF!&gt;0,'Segmented SAUC'!N$106)+'Segmented SAUC'!N$107*#REF!</f>
        <v>#REF!</v>
      </c>
      <c r="O188" s="289" t="e">
        <f>IF(#REF!&gt;0,'Segmented SAUC'!O$98)+'Segmented SAUC'!O$99*#REF!+IF(#REF!&gt;0,'Segmented SAUC'!O$102)+'Segmented SAUC'!O$103*#REF!+IF(#REF!&gt;0,'Segmented SAUC'!O$106)+'Segmented SAUC'!O$107*#REF!</f>
        <v>#REF!</v>
      </c>
      <c r="P188" s="289" t="e">
        <f>IF(#REF!&gt;0,'Segmented SAUC'!P$98)+'Segmented SAUC'!P$99*#REF!+IF(#REF!&gt;0,'Segmented SAUC'!P$102)+'Segmented SAUC'!P$103*#REF!+IF(#REF!&gt;0,'Segmented SAUC'!P$106)+'Segmented SAUC'!P$107*#REF!</f>
        <v>#REF!</v>
      </c>
      <c r="Q188" s="289" t="e">
        <f>IF(#REF!&gt;0,'Segmented SAUC'!Q$98)+'Segmented SAUC'!Q$99*#REF!+IF(#REF!&gt;0,'Segmented SAUC'!Q$102)+'Segmented SAUC'!Q$103*#REF!+IF(#REF!&gt;0,'Segmented SAUC'!Q$106)+'Segmented SAUC'!Q$107*#REF!</f>
        <v>#REF!</v>
      </c>
      <c r="R188" s="289" t="e">
        <f>IF(#REF!&gt;0,'Segmented SAUC'!R$98)+'Segmented SAUC'!R$99*#REF!+IF(#REF!&gt;0,'Segmented SAUC'!R$102)+'Segmented SAUC'!R$103*#REF!+IF(#REF!&gt;0,'Segmented SAUC'!R$106)+'Segmented SAUC'!R$107*#REF!</f>
        <v>#REF!</v>
      </c>
    </row>
    <row r="189" spans="1:18">
      <c r="A189" s="261" t="e">
        <f>#REF!</f>
        <v>#REF!</v>
      </c>
      <c r="B189" s="289"/>
      <c r="C189" s="289" t="e">
        <f>IF(#REF!&gt;0,'Segmented SAUC'!C$98)+'Segmented SAUC'!C$99*#REF!+IF(#REF!&gt;0,'Segmented SAUC'!C$102)+'Segmented SAUC'!C$103*#REF!+IF(#REF!&gt;0,'Segmented SAUC'!C$106)+'Segmented SAUC'!C$107*#REF!</f>
        <v>#REF!</v>
      </c>
      <c r="D189" s="289" t="e">
        <f>IF(#REF!&gt;0,'Segmented SAUC'!D$98)+'Segmented SAUC'!D$99*#REF!+IF(#REF!&gt;0,'Segmented SAUC'!D$102)+'Segmented SAUC'!D$103*#REF!+IF(#REF!&gt;0,'Segmented SAUC'!D$106)+'Segmented SAUC'!D$107*#REF!</f>
        <v>#REF!</v>
      </c>
      <c r="E189" s="289" t="e">
        <f>IF(#REF!&gt;0,'Segmented SAUC'!E$98)+'Segmented SAUC'!E$99*#REF!+IF(#REF!&gt;0,'Segmented SAUC'!E$102)+'Segmented SAUC'!E$103*#REF!+IF(#REF!&gt;0,'Segmented SAUC'!E$106)+'Segmented SAUC'!E$107*#REF!</f>
        <v>#REF!</v>
      </c>
      <c r="F189" s="289" t="e">
        <f>IF(#REF!&gt;0,'Segmented SAUC'!F$98)+'Segmented SAUC'!F$99*#REF!+IF(#REF!&gt;0,'Segmented SAUC'!F$102)+'Segmented SAUC'!F$103*#REF!+IF(#REF!&gt;0,'Segmented SAUC'!F$106)+'Segmented SAUC'!F$107*#REF!</f>
        <v>#REF!</v>
      </c>
      <c r="G189" s="289" t="e">
        <f>IF(#REF!&gt;0,'Segmented SAUC'!G$98)+'Segmented SAUC'!G$99*#REF!+IF(#REF!&gt;0,'Segmented SAUC'!G$102)+'Segmented SAUC'!G$103*#REF!+IF(#REF!&gt;0,'Segmented SAUC'!G$106)+'Segmented SAUC'!G$107*#REF!</f>
        <v>#REF!</v>
      </c>
      <c r="H189" s="289" t="e">
        <f>IF(#REF!&gt;0,'Segmented SAUC'!H$98)+'Segmented SAUC'!H$99*#REF!+IF(#REF!&gt;0,'Segmented SAUC'!H$102)+'Segmented SAUC'!H$103*#REF!+IF(#REF!&gt;0,'Segmented SAUC'!H$106)+'Segmented SAUC'!H$107*#REF!</f>
        <v>#REF!</v>
      </c>
      <c r="I189" s="290" t="e">
        <f>IF(#REF!&gt;0,'Segmented SAUC'!I$98)+'Segmented SAUC'!I$99*#REF!+IF(#REF!&gt;0,'Segmented SAUC'!I$102)+'Segmented SAUC'!I$103*#REF!+IF(#REF!&gt;0,'Segmented SAUC'!I$106)+'Segmented SAUC'!I$107*#REF!</f>
        <v>#REF!</v>
      </c>
      <c r="J189" s="289" t="e">
        <f>IF(#REF!&gt;0,'Segmented SAUC'!J$98)+'Segmented SAUC'!J$99*#REF!+IF(#REF!&gt;0,'Segmented SAUC'!J$102)+'Segmented SAUC'!J$103*#REF!+IF(#REF!&gt;0,'Segmented SAUC'!J$106)+'Segmented SAUC'!J$107*#REF!</f>
        <v>#REF!</v>
      </c>
      <c r="K189" s="289" t="e">
        <f>IF(#REF!&gt;0,'Segmented SAUC'!K$98)+'Segmented SAUC'!K$99*#REF!+IF(#REF!&gt;0,'Segmented SAUC'!K$102)+'Segmented SAUC'!K$103*#REF!+IF(#REF!&gt;0,'Segmented SAUC'!K$106)+'Segmented SAUC'!K$107*#REF!</f>
        <v>#REF!</v>
      </c>
      <c r="L189" s="289" t="e">
        <f>IF(#REF!&gt;0,'Segmented SAUC'!L$98)+'Segmented SAUC'!L$99*#REF!+IF(#REF!&gt;0,'Segmented SAUC'!L$102)+'Segmented SAUC'!L$103*#REF!+IF(#REF!&gt;0,'Segmented SAUC'!L$106)+'Segmented SAUC'!L$107*#REF!</f>
        <v>#REF!</v>
      </c>
      <c r="M189" s="289" t="e">
        <f>IF(#REF!&gt;0,'Segmented SAUC'!M$98)+'Segmented SAUC'!M$99*#REF!+IF(#REF!&gt;0,'Segmented SAUC'!M$102)+'Segmented SAUC'!M$103*#REF!+IF(#REF!&gt;0,'Segmented SAUC'!M$106)+'Segmented SAUC'!M$107*#REF!</f>
        <v>#REF!</v>
      </c>
      <c r="N189" s="289" t="e">
        <f>IF(#REF!&gt;0,'Segmented SAUC'!N$98)+'Segmented SAUC'!N$99*#REF!+IF(#REF!&gt;0,'Segmented SAUC'!N$102)+'Segmented SAUC'!N$103*#REF!+IF(#REF!&gt;0,'Segmented SAUC'!N$106)+'Segmented SAUC'!N$107*#REF!</f>
        <v>#REF!</v>
      </c>
      <c r="O189" s="289" t="e">
        <f>IF(#REF!&gt;0,'Segmented SAUC'!O$98)+'Segmented SAUC'!O$99*#REF!+IF(#REF!&gt;0,'Segmented SAUC'!O$102)+'Segmented SAUC'!O$103*#REF!+IF(#REF!&gt;0,'Segmented SAUC'!O$106)+'Segmented SAUC'!O$107*#REF!</f>
        <v>#REF!</v>
      </c>
      <c r="P189" s="289" t="e">
        <f>IF(#REF!&gt;0,'Segmented SAUC'!P$98)+'Segmented SAUC'!P$99*#REF!+IF(#REF!&gt;0,'Segmented SAUC'!P$102)+'Segmented SAUC'!P$103*#REF!+IF(#REF!&gt;0,'Segmented SAUC'!P$106)+'Segmented SAUC'!P$107*#REF!</f>
        <v>#REF!</v>
      </c>
      <c r="Q189" s="289" t="e">
        <f>IF(#REF!&gt;0,'Segmented SAUC'!Q$98)+'Segmented SAUC'!Q$99*#REF!+IF(#REF!&gt;0,'Segmented SAUC'!Q$102)+'Segmented SAUC'!Q$103*#REF!+IF(#REF!&gt;0,'Segmented SAUC'!Q$106)+'Segmented SAUC'!Q$107*#REF!</f>
        <v>#REF!</v>
      </c>
      <c r="R189" s="289" t="e">
        <f>IF(#REF!&gt;0,'Segmented SAUC'!R$98)+'Segmented SAUC'!R$99*#REF!+IF(#REF!&gt;0,'Segmented SAUC'!R$102)+'Segmented SAUC'!R$103*#REF!+IF(#REF!&gt;0,'Segmented SAUC'!R$106)+'Segmented SAUC'!R$107*#REF!</f>
        <v>#REF!</v>
      </c>
    </row>
    <row r="190" spans="1:18">
      <c r="A190" s="261" t="e">
        <f>#REF!</f>
        <v>#REF!</v>
      </c>
      <c r="B190" s="289"/>
      <c r="C190" s="289" t="e">
        <f>IF(#REF!&gt;0,'Segmented SAUC'!C$98)+'Segmented SAUC'!C$99*#REF!+IF(#REF!&gt;0,'Segmented SAUC'!C$102)+'Segmented SAUC'!C$103*#REF!+IF(#REF!&gt;0,'Segmented SAUC'!C$106)+'Segmented SAUC'!C$107*#REF!</f>
        <v>#REF!</v>
      </c>
      <c r="D190" s="289" t="e">
        <f>IF(#REF!&gt;0,'Segmented SAUC'!D$98)+'Segmented SAUC'!D$99*#REF!+IF(#REF!&gt;0,'Segmented SAUC'!D$102)+'Segmented SAUC'!D$103*#REF!+IF(#REF!&gt;0,'Segmented SAUC'!D$106)+'Segmented SAUC'!D$107*#REF!</f>
        <v>#REF!</v>
      </c>
      <c r="E190" s="289" t="e">
        <f>IF(#REF!&gt;0,'Segmented SAUC'!E$98)+'Segmented SAUC'!E$99*#REF!+IF(#REF!&gt;0,'Segmented SAUC'!E$102)+'Segmented SAUC'!E$103*#REF!+IF(#REF!&gt;0,'Segmented SAUC'!E$106)+'Segmented SAUC'!E$107*#REF!</f>
        <v>#REF!</v>
      </c>
      <c r="F190" s="289" t="e">
        <f>IF(#REF!&gt;0,'Segmented SAUC'!F$98)+'Segmented SAUC'!F$99*#REF!+IF(#REF!&gt;0,'Segmented SAUC'!F$102)+'Segmented SAUC'!F$103*#REF!+IF(#REF!&gt;0,'Segmented SAUC'!F$106)+'Segmented SAUC'!F$107*#REF!</f>
        <v>#REF!</v>
      </c>
      <c r="G190" s="289" t="e">
        <f>IF(#REF!&gt;0,'Segmented SAUC'!G$98)+'Segmented SAUC'!G$99*#REF!+IF(#REF!&gt;0,'Segmented SAUC'!G$102)+'Segmented SAUC'!G$103*#REF!+IF(#REF!&gt;0,'Segmented SAUC'!G$106)+'Segmented SAUC'!G$107*#REF!</f>
        <v>#REF!</v>
      </c>
      <c r="H190" s="289" t="e">
        <f>IF(#REF!&gt;0,'Segmented SAUC'!H$98)+'Segmented SAUC'!H$99*#REF!+IF(#REF!&gt;0,'Segmented SAUC'!H$102)+'Segmented SAUC'!H$103*#REF!+IF(#REF!&gt;0,'Segmented SAUC'!H$106)+'Segmented SAUC'!H$107*#REF!</f>
        <v>#REF!</v>
      </c>
      <c r="I190" s="290" t="e">
        <f>IF(#REF!&gt;0,'Segmented SAUC'!I$98)+'Segmented SAUC'!I$99*#REF!+IF(#REF!&gt;0,'Segmented SAUC'!I$102)+'Segmented SAUC'!I$103*#REF!+IF(#REF!&gt;0,'Segmented SAUC'!I$106)+'Segmented SAUC'!I$107*#REF!</f>
        <v>#REF!</v>
      </c>
      <c r="J190" s="289" t="e">
        <f>IF(#REF!&gt;0,'Segmented SAUC'!J$98)+'Segmented SAUC'!J$99*#REF!+IF(#REF!&gt;0,'Segmented SAUC'!J$102)+'Segmented SAUC'!J$103*#REF!+IF(#REF!&gt;0,'Segmented SAUC'!J$106)+'Segmented SAUC'!J$107*#REF!</f>
        <v>#REF!</v>
      </c>
      <c r="K190" s="289" t="e">
        <f>IF(#REF!&gt;0,'Segmented SAUC'!K$98)+'Segmented SAUC'!K$99*#REF!+IF(#REF!&gt;0,'Segmented SAUC'!K$102)+'Segmented SAUC'!K$103*#REF!+IF(#REF!&gt;0,'Segmented SAUC'!K$106)+'Segmented SAUC'!K$107*#REF!</f>
        <v>#REF!</v>
      </c>
      <c r="L190" s="289" t="e">
        <f>IF(#REF!&gt;0,'Segmented SAUC'!L$98)+'Segmented SAUC'!L$99*#REF!+IF(#REF!&gt;0,'Segmented SAUC'!L$102)+'Segmented SAUC'!L$103*#REF!+IF(#REF!&gt;0,'Segmented SAUC'!L$106)+'Segmented SAUC'!L$107*#REF!</f>
        <v>#REF!</v>
      </c>
      <c r="M190" s="289" t="e">
        <f>IF(#REF!&gt;0,'Segmented SAUC'!M$98)+'Segmented SAUC'!M$99*#REF!+IF(#REF!&gt;0,'Segmented SAUC'!M$102)+'Segmented SAUC'!M$103*#REF!+IF(#REF!&gt;0,'Segmented SAUC'!M$106)+'Segmented SAUC'!M$107*#REF!</f>
        <v>#REF!</v>
      </c>
      <c r="N190" s="289" t="e">
        <f>IF(#REF!&gt;0,'Segmented SAUC'!N$98)+'Segmented SAUC'!N$99*#REF!+IF(#REF!&gt;0,'Segmented SAUC'!N$102)+'Segmented SAUC'!N$103*#REF!+IF(#REF!&gt;0,'Segmented SAUC'!N$106)+'Segmented SAUC'!N$107*#REF!</f>
        <v>#REF!</v>
      </c>
      <c r="O190" s="289" t="e">
        <f>IF(#REF!&gt;0,'Segmented SAUC'!O$98)+'Segmented SAUC'!O$99*#REF!+IF(#REF!&gt;0,'Segmented SAUC'!O$102)+'Segmented SAUC'!O$103*#REF!+IF(#REF!&gt;0,'Segmented SAUC'!O$106)+'Segmented SAUC'!O$107*#REF!</f>
        <v>#REF!</v>
      </c>
      <c r="P190" s="289" t="e">
        <f>IF(#REF!&gt;0,'Segmented SAUC'!P$98)+'Segmented SAUC'!P$99*#REF!+IF(#REF!&gt;0,'Segmented SAUC'!P$102)+'Segmented SAUC'!P$103*#REF!+IF(#REF!&gt;0,'Segmented SAUC'!P$106)+'Segmented SAUC'!P$107*#REF!</f>
        <v>#REF!</v>
      </c>
      <c r="Q190" s="289" t="e">
        <f>IF(#REF!&gt;0,'Segmented SAUC'!Q$98)+'Segmented SAUC'!Q$99*#REF!+IF(#REF!&gt;0,'Segmented SAUC'!Q$102)+'Segmented SAUC'!Q$103*#REF!+IF(#REF!&gt;0,'Segmented SAUC'!Q$106)+'Segmented SAUC'!Q$107*#REF!</f>
        <v>#REF!</v>
      </c>
      <c r="R190" s="289" t="e">
        <f>IF(#REF!&gt;0,'Segmented SAUC'!R$98)+'Segmented SAUC'!R$99*#REF!+IF(#REF!&gt;0,'Segmented SAUC'!R$102)+'Segmented SAUC'!R$103*#REF!+IF(#REF!&gt;0,'Segmented SAUC'!R$106)+'Segmented SAUC'!R$107*#REF!</f>
        <v>#REF!</v>
      </c>
    </row>
    <row r="191" spans="1:18">
      <c r="A191" s="261" t="e">
        <f>#REF!</f>
        <v>#REF!</v>
      </c>
      <c r="B191" s="289"/>
      <c r="C191" s="289" t="e">
        <f>IF(#REF!&gt;0,'Segmented SAUC'!C$98)+'Segmented SAUC'!C$99*#REF!+IF(#REF!&gt;0,'Segmented SAUC'!C$102)+'Segmented SAUC'!C$103*#REF!+IF(#REF!&gt;0,'Segmented SAUC'!C$106)+'Segmented SAUC'!C$107*#REF!</f>
        <v>#REF!</v>
      </c>
      <c r="D191" s="289" t="e">
        <f>IF(#REF!&gt;0,'Segmented SAUC'!D$98)+'Segmented SAUC'!D$99*#REF!+IF(#REF!&gt;0,'Segmented SAUC'!D$102)+'Segmented SAUC'!D$103*#REF!+IF(#REF!&gt;0,'Segmented SAUC'!D$106)+'Segmented SAUC'!D$107*#REF!</f>
        <v>#REF!</v>
      </c>
      <c r="E191" s="289" t="e">
        <f>IF(#REF!&gt;0,'Segmented SAUC'!E$98)+'Segmented SAUC'!E$99*#REF!+IF(#REF!&gt;0,'Segmented SAUC'!E$102)+'Segmented SAUC'!E$103*#REF!+IF(#REF!&gt;0,'Segmented SAUC'!E$106)+'Segmented SAUC'!E$107*#REF!</f>
        <v>#REF!</v>
      </c>
      <c r="F191" s="289" t="e">
        <f>IF(#REF!&gt;0,'Segmented SAUC'!F$98)+'Segmented SAUC'!F$99*#REF!+IF(#REF!&gt;0,'Segmented SAUC'!F$102)+'Segmented SAUC'!F$103*#REF!+IF(#REF!&gt;0,'Segmented SAUC'!F$106)+'Segmented SAUC'!F$107*#REF!</f>
        <v>#REF!</v>
      </c>
      <c r="G191" s="289" t="e">
        <f>IF(#REF!&gt;0,'Segmented SAUC'!G$98)+'Segmented SAUC'!G$99*#REF!+IF(#REF!&gt;0,'Segmented SAUC'!G$102)+'Segmented SAUC'!G$103*#REF!+IF(#REF!&gt;0,'Segmented SAUC'!G$106)+'Segmented SAUC'!G$107*#REF!</f>
        <v>#REF!</v>
      </c>
      <c r="H191" s="289" t="e">
        <f>IF(#REF!&gt;0,'Segmented SAUC'!H$98)+'Segmented SAUC'!H$99*#REF!+IF(#REF!&gt;0,'Segmented SAUC'!H$102)+'Segmented SAUC'!H$103*#REF!+IF(#REF!&gt;0,'Segmented SAUC'!H$106)+'Segmented SAUC'!H$107*#REF!</f>
        <v>#REF!</v>
      </c>
      <c r="I191" s="290" t="e">
        <f>IF(#REF!&gt;0,'Segmented SAUC'!I$98)+'Segmented SAUC'!I$99*#REF!+IF(#REF!&gt;0,'Segmented SAUC'!I$102)+'Segmented SAUC'!I$103*#REF!+IF(#REF!&gt;0,'Segmented SAUC'!I$106)+'Segmented SAUC'!I$107*#REF!</f>
        <v>#REF!</v>
      </c>
      <c r="J191" s="289" t="e">
        <f>IF(#REF!&gt;0,'Segmented SAUC'!J$98)+'Segmented SAUC'!J$99*#REF!+IF(#REF!&gt;0,'Segmented SAUC'!J$102)+'Segmented SAUC'!J$103*#REF!+IF(#REF!&gt;0,'Segmented SAUC'!J$106)+'Segmented SAUC'!J$107*#REF!</f>
        <v>#REF!</v>
      </c>
      <c r="K191" s="289" t="e">
        <f>IF(#REF!&gt;0,'Segmented SAUC'!K$98)+'Segmented SAUC'!K$99*#REF!+IF(#REF!&gt;0,'Segmented SAUC'!K$102)+'Segmented SAUC'!K$103*#REF!+IF(#REF!&gt;0,'Segmented SAUC'!K$106)+'Segmented SAUC'!K$107*#REF!</f>
        <v>#REF!</v>
      </c>
      <c r="L191" s="289" t="e">
        <f>IF(#REF!&gt;0,'Segmented SAUC'!L$98)+'Segmented SAUC'!L$99*#REF!+IF(#REF!&gt;0,'Segmented SAUC'!L$102)+'Segmented SAUC'!L$103*#REF!+IF(#REF!&gt;0,'Segmented SAUC'!L$106)+'Segmented SAUC'!L$107*#REF!</f>
        <v>#REF!</v>
      </c>
      <c r="M191" s="289" t="e">
        <f>IF(#REF!&gt;0,'Segmented SAUC'!M$98)+'Segmented SAUC'!M$99*#REF!+IF(#REF!&gt;0,'Segmented SAUC'!M$102)+'Segmented SAUC'!M$103*#REF!+IF(#REF!&gt;0,'Segmented SAUC'!M$106)+'Segmented SAUC'!M$107*#REF!</f>
        <v>#REF!</v>
      </c>
      <c r="N191" s="289" t="e">
        <f>IF(#REF!&gt;0,'Segmented SAUC'!N$98)+'Segmented SAUC'!N$99*#REF!+IF(#REF!&gt;0,'Segmented SAUC'!N$102)+'Segmented SAUC'!N$103*#REF!+IF(#REF!&gt;0,'Segmented SAUC'!N$106)+'Segmented SAUC'!N$107*#REF!</f>
        <v>#REF!</v>
      </c>
      <c r="O191" s="289" t="e">
        <f>IF(#REF!&gt;0,'Segmented SAUC'!O$98)+'Segmented SAUC'!O$99*#REF!+IF(#REF!&gt;0,'Segmented SAUC'!O$102)+'Segmented SAUC'!O$103*#REF!+IF(#REF!&gt;0,'Segmented SAUC'!O$106)+'Segmented SAUC'!O$107*#REF!</f>
        <v>#REF!</v>
      </c>
      <c r="P191" s="289" t="e">
        <f>IF(#REF!&gt;0,'Segmented SAUC'!P$98)+'Segmented SAUC'!P$99*#REF!+IF(#REF!&gt;0,'Segmented SAUC'!P$102)+'Segmented SAUC'!P$103*#REF!+IF(#REF!&gt;0,'Segmented SAUC'!P$106)+'Segmented SAUC'!P$107*#REF!</f>
        <v>#REF!</v>
      </c>
      <c r="Q191" s="289" t="e">
        <f>IF(#REF!&gt;0,'Segmented SAUC'!Q$98)+'Segmented SAUC'!Q$99*#REF!+IF(#REF!&gt;0,'Segmented SAUC'!Q$102)+'Segmented SAUC'!Q$103*#REF!+IF(#REF!&gt;0,'Segmented SAUC'!Q$106)+'Segmented SAUC'!Q$107*#REF!</f>
        <v>#REF!</v>
      </c>
      <c r="R191" s="289" t="e">
        <f>IF(#REF!&gt;0,'Segmented SAUC'!R$98)+'Segmented SAUC'!R$99*#REF!+IF(#REF!&gt;0,'Segmented SAUC'!R$102)+'Segmented SAUC'!R$103*#REF!+IF(#REF!&gt;0,'Segmented SAUC'!R$106)+'Segmented SAUC'!R$107*#REF!</f>
        <v>#REF!</v>
      </c>
    </row>
    <row r="192" spans="1:18">
      <c r="A192" s="261" t="e">
        <f>#REF!</f>
        <v>#REF!</v>
      </c>
      <c r="B192" s="289"/>
      <c r="C192" s="289" t="e">
        <f>IF(#REF!&gt;0,'Segmented SAUC'!C$98)+'Segmented SAUC'!C$99*#REF!+IF(#REF!&gt;0,'Segmented SAUC'!C$102)+'Segmented SAUC'!C$103*#REF!+IF(#REF!&gt;0,'Segmented SAUC'!C$106)+'Segmented SAUC'!C$107*#REF!</f>
        <v>#REF!</v>
      </c>
      <c r="D192" s="289" t="e">
        <f>IF(#REF!&gt;0,'Segmented SAUC'!D$98)+'Segmented SAUC'!D$99*#REF!+IF(#REF!&gt;0,'Segmented SAUC'!D$102)+'Segmented SAUC'!D$103*#REF!+IF(#REF!&gt;0,'Segmented SAUC'!D$106)+'Segmented SAUC'!D$107*#REF!</f>
        <v>#REF!</v>
      </c>
      <c r="E192" s="289" t="e">
        <f>IF(#REF!&gt;0,'Segmented SAUC'!E$98)+'Segmented SAUC'!E$99*#REF!+IF(#REF!&gt;0,'Segmented SAUC'!E$102)+'Segmented SAUC'!E$103*#REF!+IF(#REF!&gt;0,'Segmented SAUC'!E$106)+'Segmented SAUC'!E$107*#REF!</f>
        <v>#REF!</v>
      </c>
      <c r="F192" s="289" t="e">
        <f>IF(#REF!&gt;0,'Segmented SAUC'!F$98)+'Segmented SAUC'!F$99*#REF!+IF(#REF!&gt;0,'Segmented SAUC'!F$102)+'Segmented SAUC'!F$103*#REF!+IF(#REF!&gt;0,'Segmented SAUC'!F$106)+'Segmented SAUC'!F$107*#REF!</f>
        <v>#REF!</v>
      </c>
      <c r="G192" s="289" t="e">
        <f>IF(#REF!&gt;0,'Segmented SAUC'!G$98)+'Segmented SAUC'!G$99*#REF!+IF(#REF!&gt;0,'Segmented SAUC'!G$102)+'Segmented SAUC'!G$103*#REF!+IF(#REF!&gt;0,'Segmented SAUC'!G$106)+'Segmented SAUC'!G$107*#REF!</f>
        <v>#REF!</v>
      </c>
      <c r="H192" s="289" t="e">
        <f>IF(#REF!&gt;0,'Segmented SAUC'!H$98)+'Segmented SAUC'!H$99*#REF!+IF(#REF!&gt;0,'Segmented SAUC'!H$102)+'Segmented SAUC'!H$103*#REF!+IF(#REF!&gt;0,'Segmented SAUC'!H$106)+'Segmented SAUC'!H$107*#REF!</f>
        <v>#REF!</v>
      </c>
      <c r="I192" s="290" t="e">
        <f>IF(#REF!&gt;0,'Segmented SAUC'!I$98)+'Segmented SAUC'!I$99*#REF!+IF(#REF!&gt;0,'Segmented SAUC'!I$102)+'Segmented SAUC'!I$103*#REF!+IF(#REF!&gt;0,'Segmented SAUC'!I$106)+'Segmented SAUC'!I$107*#REF!</f>
        <v>#REF!</v>
      </c>
      <c r="J192" s="289" t="e">
        <f>IF(#REF!&gt;0,'Segmented SAUC'!J$98)+'Segmented SAUC'!J$99*#REF!+IF(#REF!&gt;0,'Segmented SAUC'!J$102)+'Segmented SAUC'!J$103*#REF!+IF(#REF!&gt;0,'Segmented SAUC'!J$106)+'Segmented SAUC'!J$107*#REF!</f>
        <v>#REF!</v>
      </c>
      <c r="K192" s="289" t="e">
        <f>IF(#REF!&gt;0,'Segmented SAUC'!K$98)+'Segmented SAUC'!K$99*#REF!+IF(#REF!&gt;0,'Segmented SAUC'!K$102)+'Segmented SAUC'!K$103*#REF!+IF(#REF!&gt;0,'Segmented SAUC'!K$106)+'Segmented SAUC'!K$107*#REF!</f>
        <v>#REF!</v>
      </c>
      <c r="L192" s="289" t="e">
        <f>IF(#REF!&gt;0,'Segmented SAUC'!L$98)+'Segmented SAUC'!L$99*#REF!+IF(#REF!&gt;0,'Segmented SAUC'!L$102)+'Segmented SAUC'!L$103*#REF!+IF(#REF!&gt;0,'Segmented SAUC'!L$106)+'Segmented SAUC'!L$107*#REF!</f>
        <v>#REF!</v>
      </c>
      <c r="M192" s="289" t="e">
        <f>IF(#REF!&gt;0,'Segmented SAUC'!M$98)+'Segmented SAUC'!M$99*#REF!+IF(#REF!&gt;0,'Segmented SAUC'!M$102)+'Segmented SAUC'!M$103*#REF!+IF(#REF!&gt;0,'Segmented SAUC'!M$106)+'Segmented SAUC'!M$107*#REF!</f>
        <v>#REF!</v>
      </c>
      <c r="N192" s="289" t="e">
        <f>IF(#REF!&gt;0,'Segmented SAUC'!N$98)+'Segmented SAUC'!N$99*#REF!+IF(#REF!&gt;0,'Segmented SAUC'!N$102)+'Segmented SAUC'!N$103*#REF!+IF(#REF!&gt;0,'Segmented SAUC'!N$106)+'Segmented SAUC'!N$107*#REF!</f>
        <v>#REF!</v>
      </c>
      <c r="O192" s="289" t="e">
        <f>IF(#REF!&gt;0,'Segmented SAUC'!O$98)+'Segmented SAUC'!O$99*#REF!+IF(#REF!&gt;0,'Segmented SAUC'!O$102)+'Segmented SAUC'!O$103*#REF!+IF(#REF!&gt;0,'Segmented SAUC'!O$106)+'Segmented SAUC'!O$107*#REF!</f>
        <v>#REF!</v>
      </c>
      <c r="P192" s="289" t="e">
        <f>IF(#REF!&gt;0,'Segmented SAUC'!P$98)+'Segmented SAUC'!P$99*#REF!+IF(#REF!&gt;0,'Segmented SAUC'!P$102)+'Segmented SAUC'!P$103*#REF!+IF(#REF!&gt;0,'Segmented SAUC'!P$106)+'Segmented SAUC'!P$107*#REF!</f>
        <v>#REF!</v>
      </c>
      <c r="Q192" s="289" t="e">
        <f>IF(#REF!&gt;0,'Segmented SAUC'!Q$98)+'Segmented SAUC'!Q$99*#REF!+IF(#REF!&gt;0,'Segmented SAUC'!Q$102)+'Segmented SAUC'!Q$103*#REF!+IF(#REF!&gt;0,'Segmented SAUC'!Q$106)+'Segmented SAUC'!Q$107*#REF!</f>
        <v>#REF!</v>
      </c>
      <c r="R192" s="289" t="e">
        <f>IF(#REF!&gt;0,'Segmented SAUC'!R$98)+'Segmented SAUC'!R$99*#REF!+IF(#REF!&gt;0,'Segmented SAUC'!R$102)+'Segmented SAUC'!R$103*#REF!+IF(#REF!&gt;0,'Segmented SAUC'!R$106)+'Segmented SAUC'!R$107*#REF!</f>
        <v>#REF!</v>
      </c>
    </row>
    <row r="193" spans="1:18">
      <c r="A193" s="261" t="e">
        <f>#REF!</f>
        <v>#REF!</v>
      </c>
      <c r="B193" s="289"/>
      <c r="C193" s="289" t="e">
        <f>IF(#REF!&gt;0,'Segmented SAUC'!C$98)+'Segmented SAUC'!C$99*#REF!+IF(#REF!&gt;0,'Segmented SAUC'!C$102)+'Segmented SAUC'!C$103*#REF!+IF(#REF!&gt;0,'Segmented SAUC'!C$106)+'Segmented SAUC'!C$107*#REF!</f>
        <v>#REF!</v>
      </c>
      <c r="D193" s="289" t="e">
        <f>IF(#REF!&gt;0,'Segmented SAUC'!D$98)+'Segmented SAUC'!D$99*#REF!+IF(#REF!&gt;0,'Segmented SAUC'!D$102)+'Segmented SAUC'!D$103*#REF!+IF(#REF!&gt;0,'Segmented SAUC'!D$106)+'Segmented SAUC'!D$107*#REF!</f>
        <v>#REF!</v>
      </c>
      <c r="E193" s="289" t="e">
        <f>IF(#REF!&gt;0,'Segmented SAUC'!E$98)+'Segmented SAUC'!E$99*#REF!+IF(#REF!&gt;0,'Segmented SAUC'!E$102)+'Segmented SAUC'!E$103*#REF!+IF(#REF!&gt;0,'Segmented SAUC'!E$106)+'Segmented SAUC'!E$107*#REF!</f>
        <v>#REF!</v>
      </c>
      <c r="F193" s="289" t="e">
        <f>IF(#REF!&gt;0,'Segmented SAUC'!F$98)+'Segmented SAUC'!F$99*#REF!+IF(#REF!&gt;0,'Segmented SAUC'!F$102)+'Segmented SAUC'!F$103*#REF!+IF(#REF!&gt;0,'Segmented SAUC'!F$106)+'Segmented SAUC'!F$107*#REF!</f>
        <v>#REF!</v>
      </c>
      <c r="G193" s="289" t="e">
        <f>IF(#REF!&gt;0,'Segmented SAUC'!G$98)+'Segmented SAUC'!G$99*#REF!+IF(#REF!&gt;0,'Segmented SAUC'!G$102)+'Segmented SAUC'!G$103*#REF!+IF(#REF!&gt;0,'Segmented SAUC'!G$106)+'Segmented SAUC'!G$107*#REF!</f>
        <v>#REF!</v>
      </c>
      <c r="H193" s="289" t="e">
        <f>IF(#REF!&gt;0,'Segmented SAUC'!H$98)+'Segmented SAUC'!H$99*#REF!+IF(#REF!&gt;0,'Segmented SAUC'!H$102)+'Segmented SAUC'!H$103*#REF!+IF(#REF!&gt;0,'Segmented SAUC'!H$106)+'Segmented SAUC'!H$107*#REF!</f>
        <v>#REF!</v>
      </c>
      <c r="I193" s="290" t="e">
        <f>IF(#REF!&gt;0,'Segmented SAUC'!I$98)+'Segmented SAUC'!I$99*#REF!+IF(#REF!&gt;0,'Segmented SAUC'!I$102)+'Segmented SAUC'!I$103*#REF!+IF(#REF!&gt;0,'Segmented SAUC'!I$106)+'Segmented SAUC'!I$107*#REF!</f>
        <v>#REF!</v>
      </c>
      <c r="J193" s="289" t="e">
        <f>IF(#REF!&gt;0,'Segmented SAUC'!J$98)+'Segmented SAUC'!J$99*#REF!+IF(#REF!&gt;0,'Segmented SAUC'!J$102)+'Segmented SAUC'!J$103*#REF!+IF(#REF!&gt;0,'Segmented SAUC'!J$106)+'Segmented SAUC'!J$107*#REF!</f>
        <v>#REF!</v>
      </c>
      <c r="K193" s="289" t="e">
        <f>IF(#REF!&gt;0,'Segmented SAUC'!K$98)+'Segmented SAUC'!K$99*#REF!+IF(#REF!&gt;0,'Segmented SAUC'!K$102)+'Segmented SAUC'!K$103*#REF!+IF(#REF!&gt;0,'Segmented SAUC'!K$106)+'Segmented SAUC'!K$107*#REF!</f>
        <v>#REF!</v>
      </c>
      <c r="L193" s="289" t="e">
        <f>IF(#REF!&gt;0,'Segmented SAUC'!L$98)+'Segmented SAUC'!L$99*#REF!+IF(#REF!&gt;0,'Segmented SAUC'!L$102)+'Segmented SAUC'!L$103*#REF!+IF(#REF!&gt;0,'Segmented SAUC'!L$106)+'Segmented SAUC'!L$107*#REF!</f>
        <v>#REF!</v>
      </c>
      <c r="M193" s="289" t="e">
        <f>IF(#REF!&gt;0,'Segmented SAUC'!M$98)+'Segmented SAUC'!M$99*#REF!+IF(#REF!&gt;0,'Segmented SAUC'!M$102)+'Segmented SAUC'!M$103*#REF!+IF(#REF!&gt;0,'Segmented SAUC'!M$106)+'Segmented SAUC'!M$107*#REF!</f>
        <v>#REF!</v>
      </c>
      <c r="N193" s="289" t="e">
        <f>IF(#REF!&gt;0,'Segmented SAUC'!N$98)+'Segmented SAUC'!N$99*#REF!+IF(#REF!&gt;0,'Segmented SAUC'!N$102)+'Segmented SAUC'!N$103*#REF!+IF(#REF!&gt;0,'Segmented SAUC'!N$106)+'Segmented SAUC'!N$107*#REF!</f>
        <v>#REF!</v>
      </c>
      <c r="O193" s="289" t="e">
        <f>IF(#REF!&gt;0,'Segmented SAUC'!O$98)+'Segmented SAUC'!O$99*#REF!+IF(#REF!&gt;0,'Segmented SAUC'!O$102)+'Segmented SAUC'!O$103*#REF!+IF(#REF!&gt;0,'Segmented SAUC'!O$106)+'Segmented SAUC'!O$107*#REF!</f>
        <v>#REF!</v>
      </c>
      <c r="P193" s="289" t="e">
        <f>IF(#REF!&gt;0,'Segmented SAUC'!P$98)+'Segmented SAUC'!P$99*#REF!+IF(#REF!&gt;0,'Segmented SAUC'!P$102)+'Segmented SAUC'!P$103*#REF!+IF(#REF!&gt;0,'Segmented SAUC'!P$106)+'Segmented SAUC'!P$107*#REF!</f>
        <v>#REF!</v>
      </c>
      <c r="Q193" s="289" t="e">
        <f>IF(#REF!&gt;0,'Segmented SAUC'!Q$98)+'Segmented SAUC'!Q$99*#REF!+IF(#REF!&gt;0,'Segmented SAUC'!Q$102)+'Segmented SAUC'!Q$103*#REF!+IF(#REF!&gt;0,'Segmented SAUC'!Q$106)+'Segmented SAUC'!Q$107*#REF!</f>
        <v>#REF!</v>
      </c>
      <c r="R193" s="289" t="e">
        <f>IF(#REF!&gt;0,'Segmented SAUC'!R$98)+'Segmented SAUC'!R$99*#REF!+IF(#REF!&gt;0,'Segmented SAUC'!R$102)+'Segmented SAUC'!R$103*#REF!+IF(#REF!&gt;0,'Segmented SAUC'!R$106)+'Segmented SAUC'!R$107*#REF!</f>
        <v>#REF!</v>
      </c>
    </row>
    <row r="194" spans="1:18">
      <c r="A194" s="261" t="e">
        <f>#REF!</f>
        <v>#REF!</v>
      </c>
      <c r="B194" s="289"/>
      <c r="C194" s="289" t="e">
        <f>IF(#REF!&gt;0,'Segmented SAUC'!C$98)+'Segmented SAUC'!C$99*#REF!+IF(#REF!&gt;0,'Segmented SAUC'!C$102)+'Segmented SAUC'!C$103*#REF!+IF(#REF!&gt;0,'Segmented SAUC'!C$106)+'Segmented SAUC'!C$107*#REF!</f>
        <v>#REF!</v>
      </c>
      <c r="D194" s="289" t="e">
        <f>IF(#REF!&gt;0,'Segmented SAUC'!D$98)+'Segmented SAUC'!D$99*#REF!+IF(#REF!&gt;0,'Segmented SAUC'!D$102)+'Segmented SAUC'!D$103*#REF!+IF(#REF!&gt;0,'Segmented SAUC'!D$106)+'Segmented SAUC'!D$107*#REF!</f>
        <v>#REF!</v>
      </c>
      <c r="E194" s="289" t="e">
        <f>IF(#REF!&gt;0,'Segmented SAUC'!E$98)+'Segmented SAUC'!E$99*#REF!+IF(#REF!&gt;0,'Segmented SAUC'!E$102)+'Segmented SAUC'!E$103*#REF!+IF(#REF!&gt;0,'Segmented SAUC'!E$106)+'Segmented SAUC'!E$107*#REF!</f>
        <v>#REF!</v>
      </c>
      <c r="F194" s="289" t="e">
        <f>IF(#REF!&gt;0,'Segmented SAUC'!F$98)+'Segmented SAUC'!F$99*#REF!+IF(#REF!&gt;0,'Segmented SAUC'!F$102)+'Segmented SAUC'!F$103*#REF!+IF(#REF!&gt;0,'Segmented SAUC'!F$106)+'Segmented SAUC'!F$107*#REF!</f>
        <v>#REF!</v>
      </c>
      <c r="G194" s="289" t="e">
        <f>IF(#REF!&gt;0,'Segmented SAUC'!G$98)+'Segmented SAUC'!G$99*#REF!+IF(#REF!&gt;0,'Segmented SAUC'!G$102)+'Segmented SAUC'!G$103*#REF!+IF(#REF!&gt;0,'Segmented SAUC'!G$106)+'Segmented SAUC'!G$107*#REF!</f>
        <v>#REF!</v>
      </c>
      <c r="H194" s="289" t="e">
        <f>IF(#REF!&gt;0,'Segmented SAUC'!H$98)+'Segmented SAUC'!H$99*#REF!+IF(#REF!&gt;0,'Segmented SAUC'!H$102)+'Segmented SAUC'!H$103*#REF!+IF(#REF!&gt;0,'Segmented SAUC'!H$106)+'Segmented SAUC'!H$107*#REF!</f>
        <v>#REF!</v>
      </c>
      <c r="I194" s="290" t="e">
        <f>IF(#REF!&gt;0,'Segmented SAUC'!I$98)+'Segmented SAUC'!I$99*#REF!+IF(#REF!&gt;0,'Segmented SAUC'!I$102)+'Segmented SAUC'!I$103*#REF!+IF(#REF!&gt;0,'Segmented SAUC'!I$106)+'Segmented SAUC'!I$107*#REF!</f>
        <v>#REF!</v>
      </c>
      <c r="J194" s="289" t="e">
        <f>IF(#REF!&gt;0,'Segmented SAUC'!J$98)+'Segmented SAUC'!J$99*#REF!+IF(#REF!&gt;0,'Segmented SAUC'!J$102)+'Segmented SAUC'!J$103*#REF!+IF(#REF!&gt;0,'Segmented SAUC'!J$106)+'Segmented SAUC'!J$107*#REF!</f>
        <v>#REF!</v>
      </c>
      <c r="K194" s="289" t="e">
        <f>IF(#REF!&gt;0,'Segmented SAUC'!K$98)+'Segmented SAUC'!K$99*#REF!+IF(#REF!&gt;0,'Segmented SAUC'!K$102)+'Segmented SAUC'!K$103*#REF!+IF(#REF!&gt;0,'Segmented SAUC'!K$106)+'Segmented SAUC'!K$107*#REF!</f>
        <v>#REF!</v>
      </c>
      <c r="L194" s="289" t="e">
        <f>IF(#REF!&gt;0,'Segmented SAUC'!L$98)+'Segmented SAUC'!L$99*#REF!+IF(#REF!&gt;0,'Segmented SAUC'!L$102)+'Segmented SAUC'!L$103*#REF!+IF(#REF!&gt;0,'Segmented SAUC'!L$106)+'Segmented SAUC'!L$107*#REF!</f>
        <v>#REF!</v>
      </c>
      <c r="M194" s="289" t="e">
        <f>IF(#REF!&gt;0,'Segmented SAUC'!M$98)+'Segmented SAUC'!M$99*#REF!+IF(#REF!&gt;0,'Segmented SAUC'!M$102)+'Segmented SAUC'!M$103*#REF!+IF(#REF!&gt;0,'Segmented SAUC'!M$106)+'Segmented SAUC'!M$107*#REF!</f>
        <v>#REF!</v>
      </c>
      <c r="N194" s="289" t="e">
        <f>IF(#REF!&gt;0,'Segmented SAUC'!N$98)+'Segmented SAUC'!N$99*#REF!+IF(#REF!&gt;0,'Segmented SAUC'!N$102)+'Segmented SAUC'!N$103*#REF!+IF(#REF!&gt;0,'Segmented SAUC'!N$106)+'Segmented SAUC'!N$107*#REF!</f>
        <v>#REF!</v>
      </c>
      <c r="O194" s="289" t="e">
        <f>IF(#REF!&gt;0,'Segmented SAUC'!O$98)+'Segmented SAUC'!O$99*#REF!+IF(#REF!&gt;0,'Segmented SAUC'!O$102)+'Segmented SAUC'!O$103*#REF!+IF(#REF!&gt;0,'Segmented SAUC'!O$106)+'Segmented SAUC'!O$107*#REF!</f>
        <v>#REF!</v>
      </c>
      <c r="P194" s="289" t="e">
        <f>IF(#REF!&gt;0,'Segmented SAUC'!P$98)+'Segmented SAUC'!P$99*#REF!+IF(#REF!&gt;0,'Segmented SAUC'!P$102)+'Segmented SAUC'!P$103*#REF!+IF(#REF!&gt;0,'Segmented SAUC'!P$106)+'Segmented SAUC'!P$107*#REF!</f>
        <v>#REF!</v>
      </c>
      <c r="Q194" s="289" t="e">
        <f>IF(#REF!&gt;0,'Segmented SAUC'!Q$98)+'Segmented SAUC'!Q$99*#REF!+IF(#REF!&gt;0,'Segmented SAUC'!Q$102)+'Segmented SAUC'!Q$103*#REF!+IF(#REF!&gt;0,'Segmented SAUC'!Q$106)+'Segmented SAUC'!Q$107*#REF!</f>
        <v>#REF!</v>
      </c>
      <c r="R194" s="289" t="e">
        <f>IF(#REF!&gt;0,'Segmented SAUC'!R$98)+'Segmented SAUC'!R$99*#REF!+IF(#REF!&gt;0,'Segmented SAUC'!R$102)+'Segmented SAUC'!R$103*#REF!+IF(#REF!&gt;0,'Segmented SAUC'!R$106)+'Segmented SAUC'!R$107*#REF!</f>
        <v>#REF!</v>
      </c>
    </row>
    <row r="195" spans="1:18">
      <c r="A195" s="261" t="e">
        <f>#REF!</f>
        <v>#REF!</v>
      </c>
      <c r="B195" s="289"/>
      <c r="C195" s="289" t="e">
        <f>IF(#REF!&gt;0,'Segmented SAUC'!C$98)+'Segmented SAUC'!C$99*#REF!+IF(#REF!&gt;0,'Segmented SAUC'!C$102)+'Segmented SAUC'!C$103*#REF!+IF(#REF!&gt;0,'Segmented SAUC'!C$106)+'Segmented SAUC'!C$107*#REF!</f>
        <v>#REF!</v>
      </c>
      <c r="D195" s="289" t="e">
        <f>IF(#REF!&gt;0,'Segmented SAUC'!D$98)+'Segmented SAUC'!D$99*#REF!+IF(#REF!&gt;0,'Segmented SAUC'!D$102)+'Segmented SAUC'!D$103*#REF!+IF(#REF!&gt;0,'Segmented SAUC'!D$106)+'Segmented SAUC'!D$107*#REF!</f>
        <v>#REF!</v>
      </c>
      <c r="E195" s="289" t="e">
        <f>IF(#REF!&gt;0,'Segmented SAUC'!E$98)+'Segmented SAUC'!E$99*#REF!+IF(#REF!&gt;0,'Segmented SAUC'!E$102)+'Segmented SAUC'!E$103*#REF!+IF(#REF!&gt;0,'Segmented SAUC'!E$106)+'Segmented SAUC'!E$107*#REF!</f>
        <v>#REF!</v>
      </c>
      <c r="F195" s="289" t="e">
        <f>IF(#REF!&gt;0,'Segmented SAUC'!F$98)+'Segmented SAUC'!F$99*#REF!+IF(#REF!&gt;0,'Segmented SAUC'!F$102)+'Segmented SAUC'!F$103*#REF!+IF(#REF!&gt;0,'Segmented SAUC'!F$106)+'Segmented SAUC'!F$107*#REF!</f>
        <v>#REF!</v>
      </c>
      <c r="G195" s="289" t="e">
        <f>IF(#REF!&gt;0,'Segmented SAUC'!G$98)+'Segmented SAUC'!G$99*#REF!+IF(#REF!&gt;0,'Segmented SAUC'!G$102)+'Segmented SAUC'!G$103*#REF!+IF(#REF!&gt;0,'Segmented SAUC'!G$106)+'Segmented SAUC'!G$107*#REF!</f>
        <v>#REF!</v>
      </c>
      <c r="H195" s="289" t="e">
        <f>IF(#REF!&gt;0,'Segmented SAUC'!H$98)+'Segmented SAUC'!H$99*#REF!+IF(#REF!&gt;0,'Segmented SAUC'!H$102)+'Segmented SAUC'!H$103*#REF!+IF(#REF!&gt;0,'Segmented SAUC'!H$106)+'Segmented SAUC'!H$107*#REF!</f>
        <v>#REF!</v>
      </c>
      <c r="I195" s="290" t="e">
        <f>IF(#REF!&gt;0,'Segmented SAUC'!I$98)+'Segmented SAUC'!I$99*#REF!+IF(#REF!&gt;0,'Segmented SAUC'!I$102)+'Segmented SAUC'!I$103*#REF!+IF(#REF!&gt;0,'Segmented SAUC'!I$106)+'Segmented SAUC'!I$107*#REF!</f>
        <v>#REF!</v>
      </c>
      <c r="J195" s="289" t="e">
        <f>IF(#REF!&gt;0,'Segmented SAUC'!J$98)+'Segmented SAUC'!J$99*#REF!+IF(#REF!&gt;0,'Segmented SAUC'!J$102)+'Segmented SAUC'!J$103*#REF!+IF(#REF!&gt;0,'Segmented SAUC'!J$106)+'Segmented SAUC'!J$107*#REF!</f>
        <v>#REF!</v>
      </c>
      <c r="K195" s="289" t="e">
        <f>IF(#REF!&gt;0,'Segmented SAUC'!K$98)+'Segmented SAUC'!K$99*#REF!+IF(#REF!&gt;0,'Segmented SAUC'!K$102)+'Segmented SAUC'!K$103*#REF!+IF(#REF!&gt;0,'Segmented SAUC'!K$106)+'Segmented SAUC'!K$107*#REF!</f>
        <v>#REF!</v>
      </c>
      <c r="L195" s="289" t="e">
        <f>IF(#REF!&gt;0,'Segmented SAUC'!L$98)+'Segmented SAUC'!L$99*#REF!+IF(#REF!&gt;0,'Segmented SAUC'!L$102)+'Segmented SAUC'!L$103*#REF!+IF(#REF!&gt;0,'Segmented SAUC'!L$106)+'Segmented SAUC'!L$107*#REF!</f>
        <v>#REF!</v>
      </c>
      <c r="M195" s="289" t="e">
        <f>IF(#REF!&gt;0,'Segmented SAUC'!M$98)+'Segmented SAUC'!M$99*#REF!+IF(#REF!&gt;0,'Segmented SAUC'!M$102)+'Segmented SAUC'!M$103*#REF!+IF(#REF!&gt;0,'Segmented SAUC'!M$106)+'Segmented SAUC'!M$107*#REF!</f>
        <v>#REF!</v>
      </c>
      <c r="N195" s="289" t="e">
        <f>IF(#REF!&gt;0,'Segmented SAUC'!N$98)+'Segmented SAUC'!N$99*#REF!+IF(#REF!&gt;0,'Segmented SAUC'!N$102)+'Segmented SAUC'!N$103*#REF!+IF(#REF!&gt;0,'Segmented SAUC'!N$106)+'Segmented SAUC'!N$107*#REF!</f>
        <v>#REF!</v>
      </c>
      <c r="O195" s="289" t="e">
        <f>IF(#REF!&gt;0,'Segmented SAUC'!O$98)+'Segmented SAUC'!O$99*#REF!+IF(#REF!&gt;0,'Segmented SAUC'!O$102)+'Segmented SAUC'!O$103*#REF!+IF(#REF!&gt;0,'Segmented SAUC'!O$106)+'Segmented SAUC'!O$107*#REF!</f>
        <v>#REF!</v>
      </c>
      <c r="P195" s="289" t="e">
        <f>IF(#REF!&gt;0,'Segmented SAUC'!P$98)+'Segmented SAUC'!P$99*#REF!+IF(#REF!&gt;0,'Segmented SAUC'!P$102)+'Segmented SAUC'!P$103*#REF!+IF(#REF!&gt;0,'Segmented SAUC'!P$106)+'Segmented SAUC'!P$107*#REF!</f>
        <v>#REF!</v>
      </c>
      <c r="Q195" s="289" t="e">
        <f>IF(#REF!&gt;0,'Segmented SAUC'!Q$98)+'Segmented SAUC'!Q$99*#REF!+IF(#REF!&gt;0,'Segmented SAUC'!Q$102)+'Segmented SAUC'!Q$103*#REF!+IF(#REF!&gt;0,'Segmented SAUC'!Q$106)+'Segmented SAUC'!Q$107*#REF!</f>
        <v>#REF!</v>
      </c>
      <c r="R195" s="289" t="e">
        <f>IF(#REF!&gt;0,'Segmented SAUC'!R$98)+'Segmented SAUC'!R$99*#REF!+IF(#REF!&gt;0,'Segmented SAUC'!R$102)+'Segmented SAUC'!R$103*#REF!+IF(#REF!&gt;0,'Segmented SAUC'!R$106)+'Segmented SAUC'!R$107*#REF!</f>
        <v>#REF!</v>
      </c>
    </row>
    <row r="196" spans="1:18">
      <c r="A196" s="261" t="e">
        <f>#REF!</f>
        <v>#REF!</v>
      </c>
      <c r="B196" s="289"/>
      <c r="C196" s="289" t="e">
        <f>IF(#REF!&gt;0,'Segmented SAUC'!C$98)+'Segmented SAUC'!C$99*#REF!+IF(#REF!&gt;0,'Segmented SAUC'!C$102)+'Segmented SAUC'!C$103*#REF!+IF(#REF!&gt;0,'Segmented SAUC'!C$106)+'Segmented SAUC'!C$107*#REF!</f>
        <v>#REF!</v>
      </c>
      <c r="D196" s="289" t="e">
        <f>IF(#REF!&gt;0,'Segmented SAUC'!D$98)+'Segmented SAUC'!D$99*#REF!+IF(#REF!&gt;0,'Segmented SAUC'!D$102)+'Segmented SAUC'!D$103*#REF!+IF(#REF!&gt;0,'Segmented SAUC'!D$106)+'Segmented SAUC'!D$107*#REF!</f>
        <v>#REF!</v>
      </c>
      <c r="E196" s="289" t="e">
        <f>IF(#REF!&gt;0,'Segmented SAUC'!E$98)+'Segmented SAUC'!E$99*#REF!+IF(#REF!&gt;0,'Segmented SAUC'!E$102)+'Segmented SAUC'!E$103*#REF!+IF(#REF!&gt;0,'Segmented SAUC'!E$106)+'Segmented SAUC'!E$107*#REF!</f>
        <v>#REF!</v>
      </c>
      <c r="F196" s="289" t="e">
        <f>IF(#REF!&gt;0,'Segmented SAUC'!F$98)+'Segmented SAUC'!F$99*#REF!+IF(#REF!&gt;0,'Segmented SAUC'!F$102)+'Segmented SAUC'!F$103*#REF!+IF(#REF!&gt;0,'Segmented SAUC'!F$106)+'Segmented SAUC'!F$107*#REF!</f>
        <v>#REF!</v>
      </c>
      <c r="G196" s="289" t="e">
        <f>IF(#REF!&gt;0,'Segmented SAUC'!G$98)+'Segmented SAUC'!G$99*#REF!+IF(#REF!&gt;0,'Segmented SAUC'!G$102)+'Segmented SAUC'!G$103*#REF!+IF(#REF!&gt;0,'Segmented SAUC'!G$106)+'Segmented SAUC'!G$107*#REF!</f>
        <v>#REF!</v>
      </c>
      <c r="H196" s="289" t="e">
        <f>IF(#REF!&gt;0,'Segmented SAUC'!H$98)+'Segmented SAUC'!H$99*#REF!+IF(#REF!&gt;0,'Segmented SAUC'!H$102)+'Segmented SAUC'!H$103*#REF!+IF(#REF!&gt;0,'Segmented SAUC'!H$106)+'Segmented SAUC'!H$107*#REF!</f>
        <v>#REF!</v>
      </c>
      <c r="I196" s="290" t="e">
        <f>IF(#REF!&gt;0,'Segmented SAUC'!I$98)+'Segmented SAUC'!I$99*#REF!+IF(#REF!&gt;0,'Segmented SAUC'!I$102)+'Segmented SAUC'!I$103*#REF!+IF(#REF!&gt;0,'Segmented SAUC'!I$106)+'Segmented SAUC'!I$107*#REF!</f>
        <v>#REF!</v>
      </c>
      <c r="J196" s="289" t="e">
        <f>IF(#REF!&gt;0,'Segmented SAUC'!J$98)+'Segmented SAUC'!J$99*#REF!+IF(#REF!&gt;0,'Segmented SAUC'!J$102)+'Segmented SAUC'!J$103*#REF!+IF(#REF!&gt;0,'Segmented SAUC'!J$106)+'Segmented SAUC'!J$107*#REF!</f>
        <v>#REF!</v>
      </c>
      <c r="K196" s="289" t="e">
        <f>IF(#REF!&gt;0,'Segmented SAUC'!K$98)+'Segmented SAUC'!K$99*#REF!+IF(#REF!&gt;0,'Segmented SAUC'!K$102)+'Segmented SAUC'!K$103*#REF!+IF(#REF!&gt;0,'Segmented SAUC'!K$106)+'Segmented SAUC'!K$107*#REF!</f>
        <v>#REF!</v>
      </c>
      <c r="L196" s="289" t="e">
        <f>IF(#REF!&gt;0,'Segmented SAUC'!L$98)+'Segmented SAUC'!L$99*#REF!+IF(#REF!&gt;0,'Segmented SAUC'!L$102)+'Segmented SAUC'!L$103*#REF!+IF(#REF!&gt;0,'Segmented SAUC'!L$106)+'Segmented SAUC'!L$107*#REF!</f>
        <v>#REF!</v>
      </c>
      <c r="M196" s="289" t="e">
        <f>IF(#REF!&gt;0,'Segmented SAUC'!M$98)+'Segmented SAUC'!M$99*#REF!+IF(#REF!&gt;0,'Segmented SAUC'!M$102)+'Segmented SAUC'!M$103*#REF!+IF(#REF!&gt;0,'Segmented SAUC'!M$106)+'Segmented SAUC'!M$107*#REF!</f>
        <v>#REF!</v>
      </c>
      <c r="N196" s="289" t="e">
        <f>IF(#REF!&gt;0,'Segmented SAUC'!N$98)+'Segmented SAUC'!N$99*#REF!+IF(#REF!&gt;0,'Segmented SAUC'!N$102)+'Segmented SAUC'!N$103*#REF!+IF(#REF!&gt;0,'Segmented SAUC'!N$106)+'Segmented SAUC'!N$107*#REF!</f>
        <v>#REF!</v>
      </c>
      <c r="O196" s="289" t="e">
        <f>IF(#REF!&gt;0,'Segmented SAUC'!O$98)+'Segmented SAUC'!O$99*#REF!+IF(#REF!&gt;0,'Segmented SAUC'!O$102)+'Segmented SAUC'!O$103*#REF!+IF(#REF!&gt;0,'Segmented SAUC'!O$106)+'Segmented SAUC'!O$107*#REF!</f>
        <v>#REF!</v>
      </c>
      <c r="P196" s="289" t="e">
        <f>IF(#REF!&gt;0,'Segmented SAUC'!P$98)+'Segmented SAUC'!P$99*#REF!+IF(#REF!&gt;0,'Segmented SAUC'!P$102)+'Segmented SAUC'!P$103*#REF!+IF(#REF!&gt;0,'Segmented SAUC'!P$106)+'Segmented SAUC'!P$107*#REF!</f>
        <v>#REF!</v>
      </c>
      <c r="Q196" s="289" t="e">
        <f>IF(#REF!&gt;0,'Segmented SAUC'!Q$98)+'Segmented SAUC'!Q$99*#REF!+IF(#REF!&gt;0,'Segmented SAUC'!Q$102)+'Segmented SAUC'!Q$103*#REF!+IF(#REF!&gt;0,'Segmented SAUC'!Q$106)+'Segmented SAUC'!Q$107*#REF!</f>
        <v>#REF!</v>
      </c>
      <c r="R196" s="289" t="e">
        <f>IF(#REF!&gt;0,'Segmented SAUC'!R$98)+'Segmented SAUC'!R$99*#REF!+IF(#REF!&gt;0,'Segmented SAUC'!R$102)+'Segmented SAUC'!R$103*#REF!+IF(#REF!&gt;0,'Segmented SAUC'!R$106)+'Segmented SAUC'!R$107*#REF!</f>
        <v>#REF!</v>
      </c>
    </row>
    <row r="197" spans="1:18">
      <c r="A197" s="261" t="e">
        <f>#REF!</f>
        <v>#REF!</v>
      </c>
      <c r="B197" s="289"/>
      <c r="C197" s="289" t="e">
        <f>IF(#REF!&gt;0,'Segmented SAUC'!C$98)+'Segmented SAUC'!C$99*#REF!+IF(#REF!&gt;0,'Segmented SAUC'!C$102)+'Segmented SAUC'!C$103*#REF!+IF(#REF!&gt;0,'Segmented SAUC'!C$106)+'Segmented SAUC'!C$107*#REF!</f>
        <v>#REF!</v>
      </c>
      <c r="D197" s="289" t="e">
        <f>IF(#REF!&gt;0,'Segmented SAUC'!D$98)+'Segmented SAUC'!D$99*#REF!+IF(#REF!&gt;0,'Segmented SAUC'!D$102)+'Segmented SAUC'!D$103*#REF!+IF(#REF!&gt;0,'Segmented SAUC'!D$106)+'Segmented SAUC'!D$107*#REF!</f>
        <v>#REF!</v>
      </c>
      <c r="E197" s="289" t="e">
        <f>IF(#REF!&gt;0,'Segmented SAUC'!E$98)+'Segmented SAUC'!E$99*#REF!+IF(#REF!&gt;0,'Segmented SAUC'!E$102)+'Segmented SAUC'!E$103*#REF!+IF(#REF!&gt;0,'Segmented SAUC'!E$106)+'Segmented SAUC'!E$107*#REF!</f>
        <v>#REF!</v>
      </c>
      <c r="F197" s="289" t="e">
        <f>IF(#REF!&gt;0,'Segmented SAUC'!F$98)+'Segmented SAUC'!F$99*#REF!+IF(#REF!&gt;0,'Segmented SAUC'!F$102)+'Segmented SAUC'!F$103*#REF!+IF(#REF!&gt;0,'Segmented SAUC'!F$106)+'Segmented SAUC'!F$107*#REF!</f>
        <v>#REF!</v>
      </c>
      <c r="G197" s="289" t="e">
        <f>IF(#REF!&gt;0,'Segmented SAUC'!G$98)+'Segmented SAUC'!G$99*#REF!+IF(#REF!&gt;0,'Segmented SAUC'!G$102)+'Segmented SAUC'!G$103*#REF!+IF(#REF!&gt;0,'Segmented SAUC'!G$106)+'Segmented SAUC'!G$107*#REF!</f>
        <v>#REF!</v>
      </c>
      <c r="H197" s="289" t="e">
        <f>IF(#REF!&gt;0,'Segmented SAUC'!H$98)+'Segmented SAUC'!H$99*#REF!+IF(#REF!&gt;0,'Segmented SAUC'!H$102)+'Segmented SAUC'!H$103*#REF!+IF(#REF!&gt;0,'Segmented SAUC'!H$106)+'Segmented SAUC'!H$107*#REF!</f>
        <v>#REF!</v>
      </c>
      <c r="I197" s="290" t="e">
        <f>IF(#REF!&gt;0,'Segmented SAUC'!I$98)+'Segmented SAUC'!I$99*#REF!+IF(#REF!&gt;0,'Segmented SAUC'!I$102)+'Segmented SAUC'!I$103*#REF!+IF(#REF!&gt;0,'Segmented SAUC'!I$106)+'Segmented SAUC'!I$107*#REF!</f>
        <v>#REF!</v>
      </c>
      <c r="J197" s="289" t="e">
        <f>IF(#REF!&gt;0,'Segmented SAUC'!J$98)+'Segmented SAUC'!J$99*#REF!+IF(#REF!&gt;0,'Segmented SAUC'!J$102)+'Segmented SAUC'!J$103*#REF!+IF(#REF!&gt;0,'Segmented SAUC'!J$106)+'Segmented SAUC'!J$107*#REF!</f>
        <v>#REF!</v>
      </c>
      <c r="K197" s="289" t="e">
        <f>IF(#REF!&gt;0,'Segmented SAUC'!K$98)+'Segmented SAUC'!K$99*#REF!+IF(#REF!&gt;0,'Segmented SAUC'!K$102)+'Segmented SAUC'!K$103*#REF!+IF(#REF!&gt;0,'Segmented SAUC'!K$106)+'Segmented SAUC'!K$107*#REF!</f>
        <v>#REF!</v>
      </c>
      <c r="L197" s="289" t="e">
        <f>IF(#REF!&gt;0,'Segmented SAUC'!L$98)+'Segmented SAUC'!L$99*#REF!+IF(#REF!&gt;0,'Segmented SAUC'!L$102)+'Segmented SAUC'!L$103*#REF!+IF(#REF!&gt;0,'Segmented SAUC'!L$106)+'Segmented SAUC'!L$107*#REF!</f>
        <v>#REF!</v>
      </c>
      <c r="M197" s="289" t="e">
        <f>IF(#REF!&gt;0,'Segmented SAUC'!M$98)+'Segmented SAUC'!M$99*#REF!+IF(#REF!&gt;0,'Segmented SAUC'!M$102)+'Segmented SAUC'!M$103*#REF!+IF(#REF!&gt;0,'Segmented SAUC'!M$106)+'Segmented SAUC'!M$107*#REF!</f>
        <v>#REF!</v>
      </c>
      <c r="N197" s="289" t="e">
        <f>IF(#REF!&gt;0,'Segmented SAUC'!N$98)+'Segmented SAUC'!N$99*#REF!+IF(#REF!&gt;0,'Segmented SAUC'!N$102)+'Segmented SAUC'!N$103*#REF!+IF(#REF!&gt;0,'Segmented SAUC'!N$106)+'Segmented SAUC'!N$107*#REF!</f>
        <v>#REF!</v>
      </c>
      <c r="O197" s="289" t="e">
        <f>IF(#REF!&gt;0,'Segmented SAUC'!O$98)+'Segmented SAUC'!O$99*#REF!+IF(#REF!&gt;0,'Segmented SAUC'!O$102)+'Segmented SAUC'!O$103*#REF!+IF(#REF!&gt;0,'Segmented SAUC'!O$106)+'Segmented SAUC'!O$107*#REF!</f>
        <v>#REF!</v>
      </c>
      <c r="P197" s="289" t="e">
        <f>IF(#REF!&gt;0,'Segmented SAUC'!P$98)+'Segmented SAUC'!P$99*#REF!+IF(#REF!&gt;0,'Segmented SAUC'!P$102)+'Segmented SAUC'!P$103*#REF!+IF(#REF!&gt;0,'Segmented SAUC'!P$106)+'Segmented SAUC'!P$107*#REF!</f>
        <v>#REF!</v>
      </c>
      <c r="Q197" s="289" t="e">
        <f>IF(#REF!&gt;0,'Segmented SAUC'!Q$98)+'Segmented SAUC'!Q$99*#REF!+IF(#REF!&gt;0,'Segmented SAUC'!Q$102)+'Segmented SAUC'!Q$103*#REF!+IF(#REF!&gt;0,'Segmented SAUC'!Q$106)+'Segmented SAUC'!Q$107*#REF!</f>
        <v>#REF!</v>
      </c>
      <c r="R197" s="289" t="e">
        <f>IF(#REF!&gt;0,'Segmented SAUC'!R$98)+'Segmented SAUC'!R$99*#REF!+IF(#REF!&gt;0,'Segmented SAUC'!R$102)+'Segmented SAUC'!R$103*#REF!+IF(#REF!&gt;0,'Segmented SAUC'!R$106)+'Segmented SAUC'!R$107*#REF!</f>
        <v>#REF!</v>
      </c>
    </row>
    <row r="198" spans="1:18">
      <c r="A198" s="261" t="e">
        <f>#REF!</f>
        <v>#REF!</v>
      </c>
      <c r="B198" s="289"/>
      <c r="C198" s="289" t="e">
        <f>IF(#REF!&gt;0,'Segmented SAUC'!C$98)+'Segmented SAUC'!C$99*#REF!+IF(#REF!&gt;0,'Segmented SAUC'!C$102)+'Segmented SAUC'!C$103*#REF!+IF(#REF!&gt;0,'Segmented SAUC'!C$106)+'Segmented SAUC'!C$107*#REF!</f>
        <v>#REF!</v>
      </c>
      <c r="D198" s="289" t="e">
        <f>IF(#REF!&gt;0,'Segmented SAUC'!D$98)+'Segmented SAUC'!D$99*#REF!+IF(#REF!&gt;0,'Segmented SAUC'!D$102)+'Segmented SAUC'!D$103*#REF!+IF(#REF!&gt;0,'Segmented SAUC'!D$106)+'Segmented SAUC'!D$107*#REF!</f>
        <v>#REF!</v>
      </c>
      <c r="E198" s="289" t="e">
        <f>IF(#REF!&gt;0,'Segmented SAUC'!E$98)+'Segmented SAUC'!E$99*#REF!+IF(#REF!&gt;0,'Segmented SAUC'!E$102)+'Segmented SAUC'!E$103*#REF!+IF(#REF!&gt;0,'Segmented SAUC'!E$106)+'Segmented SAUC'!E$107*#REF!</f>
        <v>#REF!</v>
      </c>
      <c r="F198" s="289" t="e">
        <f>IF(#REF!&gt;0,'Segmented SAUC'!F$98)+'Segmented SAUC'!F$99*#REF!+IF(#REF!&gt;0,'Segmented SAUC'!F$102)+'Segmented SAUC'!F$103*#REF!+IF(#REF!&gt;0,'Segmented SAUC'!F$106)+'Segmented SAUC'!F$107*#REF!</f>
        <v>#REF!</v>
      </c>
      <c r="G198" s="289" t="e">
        <f>IF(#REF!&gt;0,'Segmented SAUC'!G$98)+'Segmented SAUC'!G$99*#REF!+IF(#REF!&gt;0,'Segmented SAUC'!G$102)+'Segmented SAUC'!G$103*#REF!+IF(#REF!&gt;0,'Segmented SAUC'!G$106)+'Segmented SAUC'!G$107*#REF!</f>
        <v>#REF!</v>
      </c>
      <c r="H198" s="289" t="e">
        <f>IF(#REF!&gt;0,'Segmented SAUC'!H$98)+'Segmented SAUC'!H$99*#REF!+IF(#REF!&gt;0,'Segmented SAUC'!H$102)+'Segmented SAUC'!H$103*#REF!+IF(#REF!&gt;0,'Segmented SAUC'!H$106)+'Segmented SAUC'!H$107*#REF!</f>
        <v>#REF!</v>
      </c>
      <c r="I198" s="290" t="e">
        <f>IF(#REF!&gt;0,'Segmented SAUC'!I$98)+'Segmented SAUC'!I$99*#REF!+IF(#REF!&gt;0,'Segmented SAUC'!I$102)+'Segmented SAUC'!I$103*#REF!+IF(#REF!&gt;0,'Segmented SAUC'!I$106)+'Segmented SAUC'!I$107*#REF!</f>
        <v>#REF!</v>
      </c>
      <c r="J198" s="289" t="e">
        <f>IF(#REF!&gt;0,'Segmented SAUC'!J$98)+'Segmented SAUC'!J$99*#REF!+IF(#REF!&gt;0,'Segmented SAUC'!J$102)+'Segmented SAUC'!J$103*#REF!+IF(#REF!&gt;0,'Segmented SAUC'!J$106)+'Segmented SAUC'!J$107*#REF!</f>
        <v>#REF!</v>
      </c>
      <c r="K198" s="289" t="e">
        <f>IF(#REF!&gt;0,'Segmented SAUC'!K$98)+'Segmented SAUC'!K$99*#REF!+IF(#REF!&gt;0,'Segmented SAUC'!K$102)+'Segmented SAUC'!K$103*#REF!+IF(#REF!&gt;0,'Segmented SAUC'!K$106)+'Segmented SAUC'!K$107*#REF!</f>
        <v>#REF!</v>
      </c>
      <c r="L198" s="289" t="e">
        <f>IF(#REF!&gt;0,'Segmented SAUC'!L$98)+'Segmented SAUC'!L$99*#REF!+IF(#REF!&gt;0,'Segmented SAUC'!L$102)+'Segmented SAUC'!L$103*#REF!+IF(#REF!&gt;0,'Segmented SAUC'!L$106)+'Segmented SAUC'!L$107*#REF!</f>
        <v>#REF!</v>
      </c>
      <c r="M198" s="289" t="e">
        <f>IF(#REF!&gt;0,'Segmented SAUC'!M$98)+'Segmented SAUC'!M$99*#REF!+IF(#REF!&gt;0,'Segmented SAUC'!M$102)+'Segmented SAUC'!M$103*#REF!+IF(#REF!&gt;0,'Segmented SAUC'!M$106)+'Segmented SAUC'!M$107*#REF!</f>
        <v>#REF!</v>
      </c>
      <c r="N198" s="289" t="e">
        <f>IF(#REF!&gt;0,'Segmented SAUC'!N$98)+'Segmented SAUC'!N$99*#REF!+IF(#REF!&gt;0,'Segmented SAUC'!N$102)+'Segmented SAUC'!N$103*#REF!+IF(#REF!&gt;0,'Segmented SAUC'!N$106)+'Segmented SAUC'!N$107*#REF!</f>
        <v>#REF!</v>
      </c>
      <c r="O198" s="289" t="e">
        <f>IF(#REF!&gt;0,'Segmented SAUC'!O$98)+'Segmented SAUC'!O$99*#REF!+IF(#REF!&gt;0,'Segmented SAUC'!O$102)+'Segmented SAUC'!O$103*#REF!+IF(#REF!&gt;0,'Segmented SAUC'!O$106)+'Segmented SAUC'!O$107*#REF!</f>
        <v>#REF!</v>
      </c>
      <c r="P198" s="289" t="e">
        <f>IF(#REF!&gt;0,'Segmented SAUC'!P$98)+'Segmented SAUC'!P$99*#REF!+IF(#REF!&gt;0,'Segmented SAUC'!P$102)+'Segmented SAUC'!P$103*#REF!+IF(#REF!&gt;0,'Segmented SAUC'!P$106)+'Segmented SAUC'!P$107*#REF!</f>
        <v>#REF!</v>
      </c>
      <c r="Q198" s="289" t="e">
        <f>IF(#REF!&gt;0,'Segmented SAUC'!Q$98)+'Segmented SAUC'!Q$99*#REF!+IF(#REF!&gt;0,'Segmented SAUC'!Q$102)+'Segmented SAUC'!Q$103*#REF!+IF(#REF!&gt;0,'Segmented SAUC'!Q$106)+'Segmented SAUC'!Q$107*#REF!</f>
        <v>#REF!</v>
      </c>
      <c r="R198" s="289" t="e">
        <f>IF(#REF!&gt;0,'Segmented SAUC'!R$98)+'Segmented SAUC'!R$99*#REF!+IF(#REF!&gt;0,'Segmented SAUC'!R$102)+'Segmented SAUC'!R$103*#REF!+IF(#REF!&gt;0,'Segmented SAUC'!R$106)+'Segmented SAUC'!R$107*#REF!</f>
        <v>#REF!</v>
      </c>
    </row>
    <row r="199" spans="1:18">
      <c r="A199" s="261" t="e">
        <f>#REF!</f>
        <v>#REF!</v>
      </c>
      <c r="B199" s="289"/>
      <c r="C199" s="289" t="e">
        <f>IF(#REF!&gt;0,'Segmented SAUC'!C$98)+'Segmented SAUC'!C$99*#REF!+IF(#REF!&gt;0,'Segmented SAUC'!C$102)+'Segmented SAUC'!C$103*#REF!+IF(#REF!&gt;0,'Segmented SAUC'!C$106)+'Segmented SAUC'!C$107*#REF!</f>
        <v>#REF!</v>
      </c>
      <c r="D199" s="289" t="e">
        <f>IF(#REF!&gt;0,'Segmented SAUC'!D$98)+'Segmented SAUC'!D$99*#REF!+IF(#REF!&gt;0,'Segmented SAUC'!D$102)+'Segmented SAUC'!D$103*#REF!+IF(#REF!&gt;0,'Segmented SAUC'!D$106)+'Segmented SAUC'!D$107*#REF!</f>
        <v>#REF!</v>
      </c>
      <c r="E199" s="289" t="e">
        <f>IF(#REF!&gt;0,'Segmented SAUC'!E$98)+'Segmented SAUC'!E$99*#REF!+IF(#REF!&gt;0,'Segmented SAUC'!E$102)+'Segmented SAUC'!E$103*#REF!+IF(#REF!&gt;0,'Segmented SAUC'!E$106)+'Segmented SAUC'!E$107*#REF!</f>
        <v>#REF!</v>
      </c>
      <c r="F199" s="289" t="e">
        <f>IF(#REF!&gt;0,'Segmented SAUC'!F$98)+'Segmented SAUC'!F$99*#REF!+IF(#REF!&gt;0,'Segmented SAUC'!F$102)+'Segmented SAUC'!F$103*#REF!+IF(#REF!&gt;0,'Segmented SAUC'!F$106)+'Segmented SAUC'!F$107*#REF!</f>
        <v>#REF!</v>
      </c>
      <c r="G199" s="289" t="e">
        <f>IF(#REF!&gt;0,'Segmented SAUC'!G$98)+'Segmented SAUC'!G$99*#REF!+IF(#REF!&gt;0,'Segmented SAUC'!G$102)+'Segmented SAUC'!G$103*#REF!+IF(#REF!&gt;0,'Segmented SAUC'!G$106)+'Segmented SAUC'!G$107*#REF!</f>
        <v>#REF!</v>
      </c>
      <c r="H199" s="289" t="e">
        <f>IF(#REF!&gt;0,'Segmented SAUC'!H$98)+'Segmented SAUC'!H$99*#REF!+IF(#REF!&gt;0,'Segmented SAUC'!H$102)+'Segmented SAUC'!H$103*#REF!+IF(#REF!&gt;0,'Segmented SAUC'!H$106)+'Segmented SAUC'!H$107*#REF!</f>
        <v>#REF!</v>
      </c>
      <c r="I199" s="290" t="e">
        <f>IF(#REF!&gt;0,'Segmented SAUC'!I$98)+'Segmented SAUC'!I$99*#REF!+IF(#REF!&gt;0,'Segmented SAUC'!I$102)+'Segmented SAUC'!I$103*#REF!+IF(#REF!&gt;0,'Segmented SAUC'!I$106)+'Segmented SAUC'!I$107*#REF!</f>
        <v>#REF!</v>
      </c>
      <c r="J199" s="289" t="e">
        <f>IF(#REF!&gt;0,'Segmented SAUC'!J$98)+'Segmented SAUC'!J$99*#REF!+IF(#REF!&gt;0,'Segmented SAUC'!J$102)+'Segmented SAUC'!J$103*#REF!+IF(#REF!&gt;0,'Segmented SAUC'!J$106)+'Segmented SAUC'!J$107*#REF!</f>
        <v>#REF!</v>
      </c>
      <c r="K199" s="289" t="e">
        <f>IF(#REF!&gt;0,'Segmented SAUC'!K$98)+'Segmented SAUC'!K$99*#REF!+IF(#REF!&gt;0,'Segmented SAUC'!K$102)+'Segmented SAUC'!K$103*#REF!+IF(#REF!&gt;0,'Segmented SAUC'!K$106)+'Segmented SAUC'!K$107*#REF!</f>
        <v>#REF!</v>
      </c>
      <c r="L199" s="289" t="e">
        <f>IF(#REF!&gt;0,'Segmented SAUC'!L$98)+'Segmented SAUC'!L$99*#REF!+IF(#REF!&gt;0,'Segmented SAUC'!L$102)+'Segmented SAUC'!L$103*#REF!+IF(#REF!&gt;0,'Segmented SAUC'!L$106)+'Segmented SAUC'!L$107*#REF!</f>
        <v>#REF!</v>
      </c>
      <c r="M199" s="289" t="e">
        <f>IF(#REF!&gt;0,'Segmented SAUC'!M$98)+'Segmented SAUC'!M$99*#REF!+IF(#REF!&gt;0,'Segmented SAUC'!M$102)+'Segmented SAUC'!M$103*#REF!+IF(#REF!&gt;0,'Segmented SAUC'!M$106)+'Segmented SAUC'!M$107*#REF!</f>
        <v>#REF!</v>
      </c>
      <c r="N199" s="289" t="e">
        <f>IF(#REF!&gt;0,'Segmented SAUC'!N$98)+'Segmented SAUC'!N$99*#REF!+IF(#REF!&gt;0,'Segmented SAUC'!N$102)+'Segmented SAUC'!N$103*#REF!+IF(#REF!&gt;0,'Segmented SAUC'!N$106)+'Segmented SAUC'!N$107*#REF!</f>
        <v>#REF!</v>
      </c>
      <c r="O199" s="289" t="e">
        <f>IF(#REF!&gt;0,'Segmented SAUC'!O$98)+'Segmented SAUC'!O$99*#REF!+IF(#REF!&gt;0,'Segmented SAUC'!O$102)+'Segmented SAUC'!O$103*#REF!+IF(#REF!&gt;0,'Segmented SAUC'!O$106)+'Segmented SAUC'!O$107*#REF!</f>
        <v>#REF!</v>
      </c>
      <c r="P199" s="289" t="e">
        <f>IF(#REF!&gt;0,'Segmented SAUC'!P$98)+'Segmented SAUC'!P$99*#REF!+IF(#REF!&gt;0,'Segmented SAUC'!P$102)+'Segmented SAUC'!P$103*#REF!+IF(#REF!&gt;0,'Segmented SAUC'!P$106)+'Segmented SAUC'!P$107*#REF!</f>
        <v>#REF!</v>
      </c>
      <c r="Q199" s="289" t="e">
        <f>IF(#REF!&gt;0,'Segmented SAUC'!Q$98)+'Segmented SAUC'!Q$99*#REF!+IF(#REF!&gt;0,'Segmented SAUC'!Q$102)+'Segmented SAUC'!Q$103*#REF!+IF(#REF!&gt;0,'Segmented SAUC'!Q$106)+'Segmented SAUC'!Q$107*#REF!</f>
        <v>#REF!</v>
      </c>
      <c r="R199" s="289" t="e">
        <f>IF(#REF!&gt;0,'Segmented SAUC'!R$98)+'Segmented SAUC'!R$99*#REF!+IF(#REF!&gt;0,'Segmented SAUC'!R$102)+'Segmented SAUC'!R$103*#REF!+IF(#REF!&gt;0,'Segmented SAUC'!R$106)+'Segmented SAUC'!R$107*#REF!</f>
        <v>#REF!</v>
      </c>
    </row>
    <row r="200" spans="1:18">
      <c r="A200" s="261" t="e">
        <f>#REF!</f>
        <v>#REF!</v>
      </c>
      <c r="B200" s="289"/>
      <c r="C200" s="289" t="e">
        <f>IF(#REF!&gt;0,'Segmented SAUC'!C$98)+'Segmented SAUC'!C$99*#REF!+IF(#REF!&gt;0,'Segmented SAUC'!C$102)+'Segmented SAUC'!C$103*#REF!+IF(#REF!&gt;0,'Segmented SAUC'!C$106)+'Segmented SAUC'!C$107*#REF!</f>
        <v>#REF!</v>
      </c>
      <c r="D200" s="289" t="e">
        <f>IF(#REF!&gt;0,'Segmented SAUC'!D$98)+'Segmented SAUC'!D$99*#REF!+IF(#REF!&gt;0,'Segmented SAUC'!D$102)+'Segmented SAUC'!D$103*#REF!+IF(#REF!&gt;0,'Segmented SAUC'!D$106)+'Segmented SAUC'!D$107*#REF!</f>
        <v>#REF!</v>
      </c>
      <c r="E200" s="289" t="e">
        <f>IF(#REF!&gt;0,'Segmented SAUC'!E$98)+'Segmented SAUC'!E$99*#REF!+IF(#REF!&gt;0,'Segmented SAUC'!E$102)+'Segmented SAUC'!E$103*#REF!+IF(#REF!&gt;0,'Segmented SAUC'!E$106)+'Segmented SAUC'!E$107*#REF!</f>
        <v>#REF!</v>
      </c>
      <c r="F200" s="289" t="e">
        <f>IF(#REF!&gt;0,'Segmented SAUC'!F$98)+'Segmented SAUC'!F$99*#REF!+IF(#REF!&gt;0,'Segmented SAUC'!F$102)+'Segmented SAUC'!F$103*#REF!+IF(#REF!&gt;0,'Segmented SAUC'!F$106)+'Segmented SAUC'!F$107*#REF!</f>
        <v>#REF!</v>
      </c>
      <c r="G200" s="289" t="e">
        <f>IF(#REF!&gt;0,'Segmented SAUC'!G$98)+'Segmented SAUC'!G$99*#REF!+IF(#REF!&gt;0,'Segmented SAUC'!G$102)+'Segmented SAUC'!G$103*#REF!+IF(#REF!&gt;0,'Segmented SAUC'!G$106)+'Segmented SAUC'!G$107*#REF!</f>
        <v>#REF!</v>
      </c>
      <c r="H200" s="289" t="e">
        <f>IF(#REF!&gt;0,'Segmented SAUC'!H$98)+'Segmented SAUC'!H$99*#REF!+IF(#REF!&gt;0,'Segmented SAUC'!H$102)+'Segmented SAUC'!H$103*#REF!+IF(#REF!&gt;0,'Segmented SAUC'!H$106)+'Segmented SAUC'!H$107*#REF!</f>
        <v>#REF!</v>
      </c>
      <c r="I200" s="290" t="e">
        <f>IF(#REF!&gt;0,'Segmented SAUC'!I$98)+'Segmented SAUC'!I$99*#REF!+IF(#REF!&gt;0,'Segmented SAUC'!I$102)+'Segmented SAUC'!I$103*#REF!+IF(#REF!&gt;0,'Segmented SAUC'!I$106)+'Segmented SAUC'!I$107*#REF!</f>
        <v>#REF!</v>
      </c>
      <c r="J200" s="289" t="e">
        <f>IF(#REF!&gt;0,'Segmented SAUC'!J$98)+'Segmented SAUC'!J$99*#REF!+IF(#REF!&gt;0,'Segmented SAUC'!J$102)+'Segmented SAUC'!J$103*#REF!+IF(#REF!&gt;0,'Segmented SAUC'!J$106)+'Segmented SAUC'!J$107*#REF!</f>
        <v>#REF!</v>
      </c>
      <c r="K200" s="289" t="e">
        <f>IF(#REF!&gt;0,'Segmented SAUC'!K$98)+'Segmented SAUC'!K$99*#REF!+IF(#REF!&gt;0,'Segmented SAUC'!K$102)+'Segmented SAUC'!K$103*#REF!+IF(#REF!&gt;0,'Segmented SAUC'!K$106)+'Segmented SAUC'!K$107*#REF!</f>
        <v>#REF!</v>
      </c>
      <c r="L200" s="289" t="e">
        <f>IF(#REF!&gt;0,'Segmented SAUC'!L$98)+'Segmented SAUC'!L$99*#REF!+IF(#REF!&gt;0,'Segmented SAUC'!L$102)+'Segmented SAUC'!L$103*#REF!+IF(#REF!&gt;0,'Segmented SAUC'!L$106)+'Segmented SAUC'!L$107*#REF!</f>
        <v>#REF!</v>
      </c>
      <c r="M200" s="289" t="e">
        <f>IF(#REF!&gt;0,'Segmented SAUC'!M$98)+'Segmented SAUC'!M$99*#REF!+IF(#REF!&gt;0,'Segmented SAUC'!M$102)+'Segmented SAUC'!M$103*#REF!+IF(#REF!&gt;0,'Segmented SAUC'!M$106)+'Segmented SAUC'!M$107*#REF!</f>
        <v>#REF!</v>
      </c>
      <c r="N200" s="289" t="e">
        <f>IF(#REF!&gt;0,'Segmented SAUC'!N$98)+'Segmented SAUC'!N$99*#REF!+IF(#REF!&gt;0,'Segmented SAUC'!N$102)+'Segmented SAUC'!N$103*#REF!+IF(#REF!&gt;0,'Segmented SAUC'!N$106)+'Segmented SAUC'!N$107*#REF!</f>
        <v>#REF!</v>
      </c>
      <c r="O200" s="289" t="e">
        <f>IF(#REF!&gt;0,'Segmented SAUC'!O$98)+'Segmented SAUC'!O$99*#REF!+IF(#REF!&gt;0,'Segmented SAUC'!O$102)+'Segmented SAUC'!O$103*#REF!+IF(#REF!&gt;0,'Segmented SAUC'!O$106)+'Segmented SAUC'!O$107*#REF!</f>
        <v>#REF!</v>
      </c>
      <c r="P200" s="289" t="e">
        <f>IF(#REF!&gt;0,'Segmented SAUC'!P$98)+'Segmented SAUC'!P$99*#REF!+IF(#REF!&gt;0,'Segmented SAUC'!P$102)+'Segmented SAUC'!P$103*#REF!+IF(#REF!&gt;0,'Segmented SAUC'!P$106)+'Segmented SAUC'!P$107*#REF!</f>
        <v>#REF!</v>
      </c>
      <c r="Q200" s="289" t="e">
        <f>IF(#REF!&gt;0,'Segmented SAUC'!Q$98)+'Segmented SAUC'!Q$99*#REF!+IF(#REF!&gt;0,'Segmented SAUC'!Q$102)+'Segmented SAUC'!Q$103*#REF!+IF(#REF!&gt;0,'Segmented SAUC'!Q$106)+'Segmented SAUC'!Q$107*#REF!</f>
        <v>#REF!</v>
      </c>
      <c r="R200" s="289" t="e">
        <f>IF(#REF!&gt;0,'Segmented SAUC'!R$98)+'Segmented SAUC'!R$99*#REF!+IF(#REF!&gt;0,'Segmented SAUC'!R$102)+'Segmented SAUC'!R$103*#REF!+IF(#REF!&gt;0,'Segmented SAUC'!R$106)+'Segmented SAUC'!R$107*#REF!</f>
        <v>#REF!</v>
      </c>
    </row>
    <row r="201" spans="1:18">
      <c r="A201" s="261" t="e">
        <f>#REF!</f>
        <v>#REF!</v>
      </c>
      <c r="B201" s="289"/>
      <c r="C201" s="289" t="e">
        <f>IF(#REF!&gt;0,'Segmented SAUC'!C$98)+'Segmented SAUC'!C$99*#REF!+IF(#REF!&gt;0,'Segmented SAUC'!C$102)+'Segmented SAUC'!C$103*#REF!+IF(#REF!&gt;0,'Segmented SAUC'!C$106)+'Segmented SAUC'!C$107*#REF!</f>
        <v>#REF!</v>
      </c>
      <c r="D201" s="289" t="e">
        <f>IF(#REF!&gt;0,'Segmented SAUC'!D$98)+'Segmented SAUC'!D$99*#REF!+IF(#REF!&gt;0,'Segmented SAUC'!D$102)+'Segmented SAUC'!D$103*#REF!+IF(#REF!&gt;0,'Segmented SAUC'!D$106)+'Segmented SAUC'!D$107*#REF!</f>
        <v>#REF!</v>
      </c>
      <c r="E201" s="289" t="e">
        <f>IF(#REF!&gt;0,'Segmented SAUC'!E$98)+'Segmented SAUC'!E$99*#REF!+IF(#REF!&gt;0,'Segmented SAUC'!E$102)+'Segmented SAUC'!E$103*#REF!+IF(#REF!&gt;0,'Segmented SAUC'!E$106)+'Segmented SAUC'!E$107*#REF!</f>
        <v>#REF!</v>
      </c>
      <c r="F201" s="289" t="e">
        <f>IF(#REF!&gt;0,'Segmented SAUC'!F$98)+'Segmented SAUC'!F$99*#REF!+IF(#REF!&gt;0,'Segmented SAUC'!F$102)+'Segmented SAUC'!F$103*#REF!+IF(#REF!&gt;0,'Segmented SAUC'!F$106)+'Segmented SAUC'!F$107*#REF!</f>
        <v>#REF!</v>
      </c>
      <c r="G201" s="289" t="e">
        <f>IF(#REF!&gt;0,'Segmented SAUC'!G$98)+'Segmented SAUC'!G$99*#REF!+IF(#REF!&gt;0,'Segmented SAUC'!G$102)+'Segmented SAUC'!G$103*#REF!+IF(#REF!&gt;0,'Segmented SAUC'!G$106)+'Segmented SAUC'!G$107*#REF!</f>
        <v>#REF!</v>
      </c>
      <c r="H201" s="289" t="e">
        <f>IF(#REF!&gt;0,'Segmented SAUC'!H$98)+'Segmented SAUC'!H$99*#REF!+IF(#REF!&gt;0,'Segmented SAUC'!H$102)+'Segmented SAUC'!H$103*#REF!+IF(#REF!&gt;0,'Segmented SAUC'!H$106)+'Segmented SAUC'!H$107*#REF!</f>
        <v>#REF!</v>
      </c>
      <c r="I201" s="290" t="e">
        <f>IF(#REF!&gt;0,'Segmented SAUC'!I$98)+'Segmented SAUC'!I$99*#REF!+IF(#REF!&gt;0,'Segmented SAUC'!I$102)+'Segmented SAUC'!I$103*#REF!+IF(#REF!&gt;0,'Segmented SAUC'!I$106)+'Segmented SAUC'!I$107*#REF!</f>
        <v>#REF!</v>
      </c>
      <c r="J201" s="289" t="e">
        <f>IF(#REF!&gt;0,'Segmented SAUC'!J$98)+'Segmented SAUC'!J$99*#REF!+IF(#REF!&gt;0,'Segmented SAUC'!J$102)+'Segmented SAUC'!J$103*#REF!+IF(#REF!&gt;0,'Segmented SAUC'!J$106)+'Segmented SAUC'!J$107*#REF!</f>
        <v>#REF!</v>
      </c>
      <c r="K201" s="289" t="e">
        <f>IF(#REF!&gt;0,'Segmented SAUC'!K$98)+'Segmented SAUC'!K$99*#REF!+IF(#REF!&gt;0,'Segmented SAUC'!K$102)+'Segmented SAUC'!K$103*#REF!+IF(#REF!&gt;0,'Segmented SAUC'!K$106)+'Segmented SAUC'!K$107*#REF!</f>
        <v>#REF!</v>
      </c>
      <c r="L201" s="289" t="e">
        <f>IF(#REF!&gt;0,'Segmented SAUC'!L$98)+'Segmented SAUC'!L$99*#REF!+IF(#REF!&gt;0,'Segmented SAUC'!L$102)+'Segmented SAUC'!L$103*#REF!+IF(#REF!&gt;0,'Segmented SAUC'!L$106)+'Segmented SAUC'!L$107*#REF!</f>
        <v>#REF!</v>
      </c>
      <c r="M201" s="289" t="e">
        <f>IF(#REF!&gt;0,'Segmented SAUC'!M$98)+'Segmented SAUC'!M$99*#REF!+IF(#REF!&gt;0,'Segmented SAUC'!M$102)+'Segmented SAUC'!M$103*#REF!+IF(#REF!&gt;0,'Segmented SAUC'!M$106)+'Segmented SAUC'!M$107*#REF!</f>
        <v>#REF!</v>
      </c>
      <c r="N201" s="289" t="e">
        <f>IF(#REF!&gt;0,'Segmented SAUC'!N$98)+'Segmented SAUC'!N$99*#REF!+IF(#REF!&gt;0,'Segmented SAUC'!N$102)+'Segmented SAUC'!N$103*#REF!+IF(#REF!&gt;0,'Segmented SAUC'!N$106)+'Segmented SAUC'!N$107*#REF!</f>
        <v>#REF!</v>
      </c>
      <c r="O201" s="289" t="e">
        <f>IF(#REF!&gt;0,'Segmented SAUC'!O$98)+'Segmented SAUC'!O$99*#REF!+IF(#REF!&gt;0,'Segmented SAUC'!O$102)+'Segmented SAUC'!O$103*#REF!+IF(#REF!&gt;0,'Segmented SAUC'!O$106)+'Segmented SAUC'!O$107*#REF!</f>
        <v>#REF!</v>
      </c>
      <c r="P201" s="289" t="e">
        <f>IF(#REF!&gt;0,'Segmented SAUC'!P$98)+'Segmented SAUC'!P$99*#REF!+IF(#REF!&gt;0,'Segmented SAUC'!P$102)+'Segmented SAUC'!P$103*#REF!+IF(#REF!&gt;0,'Segmented SAUC'!P$106)+'Segmented SAUC'!P$107*#REF!</f>
        <v>#REF!</v>
      </c>
      <c r="Q201" s="289" t="e">
        <f>IF(#REF!&gt;0,'Segmented SAUC'!Q$98)+'Segmented SAUC'!Q$99*#REF!+IF(#REF!&gt;0,'Segmented SAUC'!Q$102)+'Segmented SAUC'!Q$103*#REF!+IF(#REF!&gt;0,'Segmented SAUC'!Q$106)+'Segmented SAUC'!Q$107*#REF!</f>
        <v>#REF!</v>
      </c>
      <c r="R201" s="289" t="e">
        <f>IF(#REF!&gt;0,'Segmented SAUC'!R$98)+'Segmented SAUC'!R$99*#REF!+IF(#REF!&gt;0,'Segmented SAUC'!R$102)+'Segmented SAUC'!R$103*#REF!+IF(#REF!&gt;0,'Segmented SAUC'!R$106)+'Segmented SAUC'!R$107*#REF!</f>
        <v>#REF!</v>
      </c>
    </row>
    <row r="202" spans="1:18">
      <c r="A202" s="261" t="e">
        <f>#REF!</f>
        <v>#REF!</v>
      </c>
      <c r="B202" s="289"/>
      <c r="C202" s="289" t="e">
        <f>IF(#REF!&gt;0,'Segmented SAUC'!C$98)+'Segmented SAUC'!C$99*#REF!+IF(#REF!&gt;0,'Segmented SAUC'!C$102)+'Segmented SAUC'!C$103*#REF!+IF(#REF!&gt;0,'Segmented SAUC'!C$106)+'Segmented SAUC'!C$107*#REF!</f>
        <v>#REF!</v>
      </c>
      <c r="D202" s="289" t="e">
        <f>IF(#REF!&gt;0,'Segmented SAUC'!D$98)+'Segmented SAUC'!D$99*#REF!+IF(#REF!&gt;0,'Segmented SAUC'!D$102)+'Segmented SAUC'!D$103*#REF!+IF(#REF!&gt;0,'Segmented SAUC'!D$106)+'Segmented SAUC'!D$107*#REF!</f>
        <v>#REF!</v>
      </c>
      <c r="E202" s="289" t="e">
        <f>IF(#REF!&gt;0,'Segmented SAUC'!E$98)+'Segmented SAUC'!E$99*#REF!+IF(#REF!&gt;0,'Segmented SAUC'!E$102)+'Segmented SAUC'!E$103*#REF!+IF(#REF!&gt;0,'Segmented SAUC'!E$106)+'Segmented SAUC'!E$107*#REF!</f>
        <v>#REF!</v>
      </c>
      <c r="F202" s="289" t="e">
        <f>IF(#REF!&gt;0,'Segmented SAUC'!F$98)+'Segmented SAUC'!F$99*#REF!+IF(#REF!&gt;0,'Segmented SAUC'!F$102)+'Segmented SAUC'!F$103*#REF!+IF(#REF!&gt;0,'Segmented SAUC'!F$106)+'Segmented SAUC'!F$107*#REF!</f>
        <v>#REF!</v>
      </c>
      <c r="G202" s="289" t="e">
        <f>IF(#REF!&gt;0,'Segmented SAUC'!G$98)+'Segmented SAUC'!G$99*#REF!+IF(#REF!&gt;0,'Segmented SAUC'!G$102)+'Segmented SAUC'!G$103*#REF!+IF(#REF!&gt;0,'Segmented SAUC'!G$106)+'Segmented SAUC'!G$107*#REF!</f>
        <v>#REF!</v>
      </c>
      <c r="H202" s="289" t="e">
        <f>IF(#REF!&gt;0,'Segmented SAUC'!H$98)+'Segmented SAUC'!H$99*#REF!+IF(#REF!&gt;0,'Segmented SAUC'!H$102)+'Segmented SAUC'!H$103*#REF!+IF(#REF!&gt;0,'Segmented SAUC'!H$106)+'Segmented SAUC'!H$107*#REF!</f>
        <v>#REF!</v>
      </c>
      <c r="I202" s="290" t="e">
        <f>IF(#REF!&gt;0,'Segmented SAUC'!I$98)+'Segmented SAUC'!I$99*#REF!+IF(#REF!&gt;0,'Segmented SAUC'!I$102)+'Segmented SAUC'!I$103*#REF!+IF(#REF!&gt;0,'Segmented SAUC'!I$106)+'Segmented SAUC'!I$107*#REF!</f>
        <v>#REF!</v>
      </c>
      <c r="J202" s="289" t="e">
        <f>IF(#REF!&gt;0,'Segmented SAUC'!J$98)+'Segmented SAUC'!J$99*#REF!+IF(#REF!&gt;0,'Segmented SAUC'!J$102)+'Segmented SAUC'!J$103*#REF!+IF(#REF!&gt;0,'Segmented SAUC'!J$106)+'Segmented SAUC'!J$107*#REF!</f>
        <v>#REF!</v>
      </c>
      <c r="K202" s="289" t="e">
        <f>IF(#REF!&gt;0,'Segmented SAUC'!K$98)+'Segmented SAUC'!K$99*#REF!+IF(#REF!&gt;0,'Segmented SAUC'!K$102)+'Segmented SAUC'!K$103*#REF!+IF(#REF!&gt;0,'Segmented SAUC'!K$106)+'Segmented SAUC'!K$107*#REF!</f>
        <v>#REF!</v>
      </c>
      <c r="L202" s="289" t="e">
        <f>IF(#REF!&gt;0,'Segmented SAUC'!L$98)+'Segmented SAUC'!L$99*#REF!+IF(#REF!&gt;0,'Segmented SAUC'!L$102)+'Segmented SAUC'!L$103*#REF!+IF(#REF!&gt;0,'Segmented SAUC'!L$106)+'Segmented SAUC'!L$107*#REF!</f>
        <v>#REF!</v>
      </c>
      <c r="M202" s="289" t="e">
        <f>IF(#REF!&gt;0,'Segmented SAUC'!M$98)+'Segmented SAUC'!M$99*#REF!+IF(#REF!&gt;0,'Segmented SAUC'!M$102)+'Segmented SAUC'!M$103*#REF!+IF(#REF!&gt;0,'Segmented SAUC'!M$106)+'Segmented SAUC'!M$107*#REF!</f>
        <v>#REF!</v>
      </c>
      <c r="N202" s="289" t="e">
        <f>IF(#REF!&gt;0,'Segmented SAUC'!N$98)+'Segmented SAUC'!N$99*#REF!+IF(#REF!&gt;0,'Segmented SAUC'!N$102)+'Segmented SAUC'!N$103*#REF!+IF(#REF!&gt;0,'Segmented SAUC'!N$106)+'Segmented SAUC'!N$107*#REF!</f>
        <v>#REF!</v>
      </c>
      <c r="O202" s="289" t="e">
        <f>IF(#REF!&gt;0,'Segmented SAUC'!O$98)+'Segmented SAUC'!O$99*#REF!+IF(#REF!&gt;0,'Segmented SAUC'!O$102)+'Segmented SAUC'!O$103*#REF!+IF(#REF!&gt;0,'Segmented SAUC'!O$106)+'Segmented SAUC'!O$107*#REF!</f>
        <v>#REF!</v>
      </c>
      <c r="P202" s="289" t="e">
        <f>IF(#REF!&gt;0,'Segmented SAUC'!P$98)+'Segmented SAUC'!P$99*#REF!+IF(#REF!&gt;0,'Segmented SAUC'!P$102)+'Segmented SAUC'!P$103*#REF!+IF(#REF!&gt;0,'Segmented SAUC'!P$106)+'Segmented SAUC'!P$107*#REF!</f>
        <v>#REF!</v>
      </c>
      <c r="Q202" s="289" t="e">
        <f>IF(#REF!&gt;0,'Segmented SAUC'!Q$98)+'Segmented SAUC'!Q$99*#REF!+IF(#REF!&gt;0,'Segmented SAUC'!Q$102)+'Segmented SAUC'!Q$103*#REF!+IF(#REF!&gt;0,'Segmented SAUC'!Q$106)+'Segmented SAUC'!Q$107*#REF!</f>
        <v>#REF!</v>
      </c>
      <c r="R202" s="289" t="e">
        <f>IF(#REF!&gt;0,'Segmented SAUC'!R$98)+'Segmented SAUC'!R$99*#REF!+IF(#REF!&gt;0,'Segmented SAUC'!R$102)+'Segmented SAUC'!R$103*#REF!+IF(#REF!&gt;0,'Segmented SAUC'!R$106)+'Segmented SAUC'!R$107*#REF!</f>
        <v>#REF!</v>
      </c>
    </row>
    <row r="203" spans="1:18">
      <c r="A203" s="261" t="e">
        <f>#REF!</f>
        <v>#REF!</v>
      </c>
      <c r="B203" s="289"/>
      <c r="C203" s="289" t="e">
        <f>IF(#REF!&gt;0,'Segmented SAUC'!C$98)+'Segmented SAUC'!C$99*#REF!+IF(#REF!&gt;0,'Segmented SAUC'!C$102)+'Segmented SAUC'!C$103*#REF!+IF(#REF!&gt;0,'Segmented SAUC'!C$106)+'Segmented SAUC'!C$107*#REF!</f>
        <v>#REF!</v>
      </c>
      <c r="D203" s="289" t="e">
        <f>IF(#REF!&gt;0,'Segmented SAUC'!D$98)+'Segmented SAUC'!D$99*#REF!+IF(#REF!&gt;0,'Segmented SAUC'!D$102)+'Segmented SAUC'!D$103*#REF!+IF(#REF!&gt;0,'Segmented SAUC'!D$106)+'Segmented SAUC'!D$107*#REF!</f>
        <v>#REF!</v>
      </c>
      <c r="E203" s="289" t="e">
        <f>IF(#REF!&gt;0,'Segmented SAUC'!E$98)+'Segmented SAUC'!E$99*#REF!+IF(#REF!&gt;0,'Segmented SAUC'!E$102)+'Segmented SAUC'!E$103*#REF!+IF(#REF!&gt;0,'Segmented SAUC'!E$106)+'Segmented SAUC'!E$107*#REF!</f>
        <v>#REF!</v>
      </c>
      <c r="F203" s="289" t="e">
        <f>IF(#REF!&gt;0,'Segmented SAUC'!F$98)+'Segmented SAUC'!F$99*#REF!+IF(#REF!&gt;0,'Segmented SAUC'!F$102)+'Segmented SAUC'!F$103*#REF!+IF(#REF!&gt;0,'Segmented SAUC'!F$106)+'Segmented SAUC'!F$107*#REF!</f>
        <v>#REF!</v>
      </c>
      <c r="G203" s="289" t="e">
        <f>IF(#REF!&gt;0,'Segmented SAUC'!G$98)+'Segmented SAUC'!G$99*#REF!+IF(#REF!&gt;0,'Segmented SAUC'!G$102)+'Segmented SAUC'!G$103*#REF!+IF(#REF!&gt;0,'Segmented SAUC'!G$106)+'Segmented SAUC'!G$107*#REF!</f>
        <v>#REF!</v>
      </c>
      <c r="H203" s="289" t="e">
        <f>IF(#REF!&gt;0,'Segmented SAUC'!H$98)+'Segmented SAUC'!H$99*#REF!+IF(#REF!&gt;0,'Segmented SAUC'!H$102)+'Segmented SAUC'!H$103*#REF!+IF(#REF!&gt;0,'Segmented SAUC'!H$106)+'Segmented SAUC'!H$107*#REF!</f>
        <v>#REF!</v>
      </c>
      <c r="I203" s="290" t="e">
        <f>IF(#REF!&gt;0,'Segmented SAUC'!I$98)+'Segmented SAUC'!I$99*#REF!+IF(#REF!&gt;0,'Segmented SAUC'!I$102)+'Segmented SAUC'!I$103*#REF!+IF(#REF!&gt;0,'Segmented SAUC'!I$106)+'Segmented SAUC'!I$107*#REF!</f>
        <v>#REF!</v>
      </c>
      <c r="J203" s="289" t="e">
        <f>IF(#REF!&gt;0,'Segmented SAUC'!J$98)+'Segmented SAUC'!J$99*#REF!+IF(#REF!&gt;0,'Segmented SAUC'!J$102)+'Segmented SAUC'!J$103*#REF!+IF(#REF!&gt;0,'Segmented SAUC'!J$106)+'Segmented SAUC'!J$107*#REF!</f>
        <v>#REF!</v>
      </c>
      <c r="K203" s="289" t="e">
        <f>IF(#REF!&gt;0,'Segmented SAUC'!K$98)+'Segmented SAUC'!K$99*#REF!+IF(#REF!&gt;0,'Segmented SAUC'!K$102)+'Segmented SAUC'!K$103*#REF!+IF(#REF!&gt;0,'Segmented SAUC'!K$106)+'Segmented SAUC'!K$107*#REF!</f>
        <v>#REF!</v>
      </c>
      <c r="L203" s="289" t="e">
        <f>IF(#REF!&gt;0,'Segmented SAUC'!L$98)+'Segmented SAUC'!L$99*#REF!+IF(#REF!&gt;0,'Segmented SAUC'!L$102)+'Segmented SAUC'!L$103*#REF!+IF(#REF!&gt;0,'Segmented SAUC'!L$106)+'Segmented SAUC'!L$107*#REF!</f>
        <v>#REF!</v>
      </c>
      <c r="M203" s="289" t="e">
        <f>IF(#REF!&gt;0,'Segmented SAUC'!M$98)+'Segmented SAUC'!M$99*#REF!+IF(#REF!&gt;0,'Segmented SAUC'!M$102)+'Segmented SAUC'!M$103*#REF!+IF(#REF!&gt;0,'Segmented SAUC'!M$106)+'Segmented SAUC'!M$107*#REF!</f>
        <v>#REF!</v>
      </c>
      <c r="N203" s="289" t="e">
        <f>IF(#REF!&gt;0,'Segmented SAUC'!N$98)+'Segmented SAUC'!N$99*#REF!+IF(#REF!&gt;0,'Segmented SAUC'!N$102)+'Segmented SAUC'!N$103*#REF!+IF(#REF!&gt;0,'Segmented SAUC'!N$106)+'Segmented SAUC'!N$107*#REF!</f>
        <v>#REF!</v>
      </c>
      <c r="O203" s="289" t="e">
        <f>IF(#REF!&gt;0,'Segmented SAUC'!O$98)+'Segmented SAUC'!O$99*#REF!+IF(#REF!&gt;0,'Segmented SAUC'!O$102)+'Segmented SAUC'!O$103*#REF!+IF(#REF!&gt;0,'Segmented SAUC'!O$106)+'Segmented SAUC'!O$107*#REF!</f>
        <v>#REF!</v>
      </c>
      <c r="P203" s="289" t="e">
        <f>IF(#REF!&gt;0,'Segmented SAUC'!P$98)+'Segmented SAUC'!P$99*#REF!+IF(#REF!&gt;0,'Segmented SAUC'!P$102)+'Segmented SAUC'!P$103*#REF!+IF(#REF!&gt;0,'Segmented SAUC'!P$106)+'Segmented SAUC'!P$107*#REF!</f>
        <v>#REF!</v>
      </c>
      <c r="Q203" s="289" t="e">
        <f>IF(#REF!&gt;0,'Segmented SAUC'!Q$98)+'Segmented SAUC'!Q$99*#REF!+IF(#REF!&gt;0,'Segmented SAUC'!Q$102)+'Segmented SAUC'!Q$103*#REF!+IF(#REF!&gt;0,'Segmented SAUC'!Q$106)+'Segmented SAUC'!Q$107*#REF!</f>
        <v>#REF!</v>
      </c>
      <c r="R203" s="289" t="e">
        <f>IF(#REF!&gt;0,'Segmented SAUC'!R$98)+'Segmented SAUC'!R$99*#REF!+IF(#REF!&gt;0,'Segmented SAUC'!R$102)+'Segmented SAUC'!R$103*#REF!+IF(#REF!&gt;0,'Segmented SAUC'!R$106)+'Segmented SAUC'!R$107*#REF!</f>
        <v>#REF!</v>
      </c>
    </row>
    <row r="204" spans="1:18">
      <c r="A204" s="261" t="e">
        <f>#REF!</f>
        <v>#REF!</v>
      </c>
      <c r="B204" s="289"/>
      <c r="C204" s="289" t="e">
        <f>IF(#REF!&gt;0,'Segmented SAUC'!C$98)+'Segmented SAUC'!C$99*#REF!+IF(#REF!&gt;0,'Segmented SAUC'!C$102)+'Segmented SAUC'!C$103*#REF!+IF(#REF!&gt;0,'Segmented SAUC'!C$106)+'Segmented SAUC'!C$107*#REF!</f>
        <v>#REF!</v>
      </c>
      <c r="D204" s="289" t="e">
        <f>IF(#REF!&gt;0,'Segmented SAUC'!D$98)+'Segmented SAUC'!D$99*#REF!+IF(#REF!&gt;0,'Segmented SAUC'!D$102)+'Segmented SAUC'!D$103*#REF!+IF(#REF!&gt;0,'Segmented SAUC'!D$106)+'Segmented SAUC'!D$107*#REF!</f>
        <v>#REF!</v>
      </c>
      <c r="E204" s="289" t="e">
        <f>IF(#REF!&gt;0,'Segmented SAUC'!E$98)+'Segmented SAUC'!E$99*#REF!+IF(#REF!&gt;0,'Segmented SAUC'!E$102)+'Segmented SAUC'!E$103*#REF!+IF(#REF!&gt;0,'Segmented SAUC'!E$106)+'Segmented SAUC'!E$107*#REF!</f>
        <v>#REF!</v>
      </c>
      <c r="F204" s="289" t="e">
        <f>IF(#REF!&gt;0,'Segmented SAUC'!F$98)+'Segmented SAUC'!F$99*#REF!+IF(#REF!&gt;0,'Segmented SAUC'!F$102)+'Segmented SAUC'!F$103*#REF!+IF(#REF!&gt;0,'Segmented SAUC'!F$106)+'Segmented SAUC'!F$107*#REF!</f>
        <v>#REF!</v>
      </c>
      <c r="G204" s="289" t="e">
        <f>IF(#REF!&gt;0,'Segmented SAUC'!G$98)+'Segmented SAUC'!G$99*#REF!+IF(#REF!&gt;0,'Segmented SAUC'!G$102)+'Segmented SAUC'!G$103*#REF!+IF(#REF!&gt;0,'Segmented SAUC'!G$106)+'Segmented SAUC'!G$107*#REF!</f>
        <v>#REF!</v>
      </c>
      <c r="H204" s="289" t="e">
        <f>IF(#REF!&gt;0,'Segmented SAUC'!H$98)+'Segmented SAUC'!H$99*#REF!+IF(#REF!&gt;0,'Segmented SAUC'!H$102)+'Segmented SAUC'!H$103*#REF!+IF(#REF!&gt;0,'Segmented SAUC'!H$106)+'Segmented SAUC'!H$107*#REF!</f>
        <v>#REF!</v>
      </c>
      <c r="I204" s="290" t="e">
        <f>IF(#REF!&gt;0,'Segmented SAUC'!I$98)+'Segmented SAUC'!I$99*#REF!+IF(#REF!&gt;0,'Segmented SAUC'!I$102)+'Segmented SAUC'!I$103*#REF!+IF(#REF!&gt;0,'Segmented SAUC'!I$106)+'Segmented SAUC'!I$107*#REF!</f>
        <v>#REF!</v>
      </c>
      <c r="J204" s="289" t="e">
        <f>IF(#REF!&gt;0,'Segmented SAUC'!J$98)+'Segmented SAUC'!J$99*#REF!+IF(#REF!&gt;0,'Segmented SAUC'!J$102)+'Segmented SAUC'!J$103*#REF!+IF(#REF!&gt;0,'Segmented SAUC'!J$106)+'Segmented SAUC'!J$107*#REF!</f>
        <v>#REF!</v>
      </c>
      <c r="K204" s="289" t="e">
        <f>IF(#REF!&gt;0,'Segmented SAUC'!K$98)+'Segmented SAUC'!K$99*#REF!+IF(#REF!&gt;0,'Segmented SAUC'!K$102)+'Segmented SAUC'!K$103*#REF!+IF(#REF!&gt;0,'Segmented SAUC'!K$106)+'Segmented SAUC'!K$107*#REF!</f>
        <v>#REF!</v>
      </c>
      <c r="L204" s="289" t="e">
        <f>IF(#REF!&gt;0,'Segmented SAUC'!L$98)+'Segmented SAUC'!L$99*#REF!+IF(#REF!&gt;0,'Segmented SAUC'!L$102)+'Segmented SAUC'!L$103*#REF!+IF(#REF!&gt;0,'Segmented SAUC'!L$106)+'Segmented SAUC'!L$107*#REF!</f>
        <v>#REF!</v>
      </c>
      <c r="M204" s="289" t="e">
        <f>IF(#REF!&gt;0,'Segmented SAUC'!M$98)+'Segmented SAUC'!M$99*#REF!+IF(#REF!&gt;0,'Segmented SAUC'!M$102)+'Segmented SAUC'!M$103*#REF!+IF(#REF!&gt;0,'Segmented SAUC'!M$106)+'Segmented SAUC'!M$107*#REF!</f>
        <v>#REF!</v>
      </c>
      <c r="N204" s="289" t="e">
        <f>IF(#REF!&gt;0,'Segmented SAUC'!N$98)+'Segmented SAUC'!N$99*#REF!+IF(#REF!&gt;0,'Segmented SAUC'!N$102)+'Segmented SAUC'!N$103*#REF!+IF(#REF!&gt;0,'Segmented SAUC'!N$106)+'Segmented SAUC'!N$107*#REF!</f>
        <v>#REF!</v>
      </c>
      <c r="O204" s="289" t="e">
        <f>IF(#REF!&gt;0,'Segmented SAUC'!O$98)+'Segmented SAUC'!O$99*#REF!+IF(#REF!&gt;0,'Segmented SAUC'!O$102)+'Segmented SAUC'!O$103*#REF!+IF(#REF!&gt;0,'Segmented SAUC'!O$106)+'Segmented SAUC'!O$107*#REF!</f>
        <v>#REF!</v>
      </c>
      <c r="P204" s="289" t="e">
        <f>IF(#REF!&gt;0,'Segmented SAUC'!P$98)+'Segmented SAUC'!P$99*#REF!+IF(#REF!&gt;0,'Segmented SAUC'!P$102)+'Segmented SAUC'!P$103*#REF!+IF(#REF!&gt;0,'Segmented SAUC'!P$106)+'Segmented SAUC'!P$107*#REF!</f>
        <v>#REF!</v>
      </c>
      <c r="Q204" s="289" t="e">
        <f>IF(#REF!&gt;0,'Segmented SAUC'!Q$98)+'Segmented SAUC'!Q$99*#REF!+IF(#REF!&gt;0,'Segmented SAUC'!Q$102)+'Segmented SAUC'!Q$103*#REF!+IF(#REF!&gt;0,'Segmented SAUC'!Q$106)+'Segmented SAUC'!Q$107*#REF!</f>
        <v>#REF!</v>
      </c>
      <c r="R204" s="289" t="e">
        <f>IF(#REF!&gt;0,'Segmented SAUC'!R$98)+'Segmented SAUC'!R$99*#REF!+IF(#REF!&gt;0,'Segmented SAUC'!R$102)+'Segmented SAUC'!R$103*#REF!+IF(#REF!&gt;0,'Segmented SAUC'!R$106)+'Segmented SAUC'!R$107*#REF!</f>
        <v>#REF!</v>
      </c>
    </row>
    <row r="205" spans="1:18">
      <c r="A205" s="261" t="e">
        <f>#REF!</f>
        <v>#REF!</v>
      </c>
      <c r="B205" s="289"/>
      <c r="C205" s="289" t="e">
        <f>IF(#REF!&gt;0,'Segmented SAUC'!C$98)+'Segmented SAUC'!C$99*#REF!+IF(#REF!&gt;0,'Segmented SAUC'!C$102)+'Segmented SAUC'!C$103*#REF!+IF(#REF!&gt;0,'Segmented SAUC'!C$106)+'Segmented SAUC'!C$107*#REF!</f>
        <v>#REF!</v>
      </c>
      <c r="D205" s="289" t="e">
        <f>IF(#REF!&gt;0,'Segmented SAUC'!D$98)+'Segmented SAUC'!D$99*#REF!+IF(#REF!&gt;0,'Segmented SAUC'!D$102)+'Segmented SAUC'!D$103*#REF!+IF(#REF!&gt;0,'Segmented SAUC'!D$106)+'Segmented SAUC'!D$107*#REF!</f>
        <v>#REF!</v>
      </c>
      <c r="E205" s="289" t="e">
        <f>IF(#REF!&gt;0,'Segmented SAUC'!E$98)+'Segmented SAUC'!E$99*#REF!+IF(#REF!&gt;0,'Segmented SAUC'!E$102)+'Segmented SAUC'!E$103*#REF!+IF(#REF!&gt;0,'Segmented SAUC'!E$106)+'Segmented SAUC'!E$107*#REF!</f>
        <v>#REF!</v>
      </c>
      <c r="F205" s="289" t="e">
        <f>IF(#REF!&gt;0,'Segmented SAUC'!F$98)+'Segmented SAUC'!F$99*#REF!+IF(#REF!&gt;0,'Segmented SAUC'!F$102)+'Segmented SAUC'!F$103*#REF!+IF(#REF!&gt;0,'Segmented SAUC'!F$106)+'Segmented SAUC'!F$107*#REF!</f>
        <v>#REF!</v>
      </c>
      <c r="G205" s="289" t="e">
        <f>IF(#REF!&gt;0,'Segmented SAUC'!G$98)+'Segmented SAUC'!G$99*#REF!+IF(#REF!&gt;0,'Segmented SAUC'!G$102)+'Segmented SAUC'!G$103*#REF!+IF(#REF!&gt;0,'Segmented SAUC'!G$106)+'Segmented SAUC'!G$107*#REF!</f>
        <v>#REF!</v>
      </c>
      <c r="H205" s="289" t="e">
        <f>IF(#REF!&gt;0,'Segmented SAUC'!H$98)+'Segmented SAUC'!H$99*#REF!+IF(#REF!&gt;0,'Segmented SAUC'!H$102)+'Segmented SAUC'!H$103*#REF!+IF(#REF!&gt;0,'Segmented SAUC'!H$106)+'Segmented SAUC'!H$107*#REF!</f>
        <v>#REF!</v>
      </c>
      <c r="I205" s="290" t="e">
        <f>IF(#REF!&gt;0,'Segmented SAUC'!I$98)+'Segmented SAUC'!I$99*#REF!+IF(#REF!&gt;0,'Segmented SAUC'!I$102)+'Segmented SAUC'!I$103*#REF!+IF(#REF!&gt;0,'Segmented SAUC'!I$106)+'Segmented SAUC'!I$107*#REF!</f>
        <v>#REF!</v>
      </c>
      <c r="J205" s="289" t="e">
        <f>IF(#REF!&gt;0,'Segmented SAUC'!J$98)+'Segmented SAUC'!J$99*#REF!+IF(#REF!&gt;0,'Segmented SAUC'!J$102)+'Segmented SAUC'!J$103*#REF!+IF(#REF!&gt;0,'Segmented SAUC'!J$106)+'Segmented SAUC'!J$107*#REF!</f>
        <v>#REF!</v>
      </c>
      <c r="K205" s="289" t="e">
        <f>IF(#REF!&gt;0,'Segmented SAUC'!K$98)+'Segmented SAUC'!K$99*#REF!+IF(#REF!&gt;0,'Segmented SAUC'!K$102)+'Segmented SAUC'!K$103*#REF!+IF(#REF!&gt;0,'Segmented SAUC'!K$106)+'Segmented SAUC'!K$107*#REF!</f>
        <v>#REF!</v>
      </c>
      <c r="L205" s="289" t="e">
        <f>IF(#REF!&gt;0,'Segmented SAUC'!L$98)+'Segmented SAUC'!L$99*#REF!+IF(#REF!&gt;0,'Segmented SAUC'!L$102)+'Segmented SAUC'!L$103*#REF!+IF(#REF!&gt;0,'Segmented SAUC'!L$106)+'Segmented SAUC'!L$107*#REF!</f>
        <v>#REF!</v>
      </c>
      <c r="M205" s="289" t="e">
        <f>IF(#REF!&gt;0,'Segmented SAUC'!M$98)+'Segmented SAUC'!M$99*#REF!+IF(#REF!&gt;0,'Segmented SAUC'!M$102)+'Segmented SAUC'!M$103*#REF!+IF(#REF!&gt;0,'Segmented SAUC'!M$106)+'Segmented SAUC'!M$107*#REF!</f>
        <v>#REF!</v>
      </c>
      <c r="N205" s="289" t="e">
        <f>IF(#REF!&gt;0,'Segmented SAUC'!N$98)+'Segmented SAUC'!N$99*#REF!+IF(#REF!&gt;0,'Segmented SAUC'!N$102)+'Segmented SAUC'!N$103*#REF!+IF(#REF!&gt;0,'Segmented SAUC'!N$106)+'Segmented SAUC'!N$107*#REF!</f>
        <v>#REF!</v>
      </c>
      <c r="O205" s="289" t="e">
        <f>IF(#REF!&gt;0,'Segmented SAUC'!O$98)+'Segmented SAUC'!O$99*#REF!+IF(#REF!&gt;0,'Segmented SAUC'!O$102)+'Segmented SAUC'!O$103*#REF!+IF(#REF!&gt;0,'Segmented SAUC'!O$106)+'Segmented SAUC'!O$107*#REF!</f>
        <v>#REF!</v>
      </c>
      <c r="P205" s="289" t="e">
        <f>IF(#REF!&gt;0,'Segmented SAUC'!P$98)+'Segmented SAUC'!P$99*#REF!+IF(#REF!&gt;0,'Segmented SAUC'!P$102)+'Segmented SAUC'!P$103*#REF!+IF(#REF!&gt;0,'Segmented SAUC'!P$106)+'Segmented SAUC'!P$107*#REF!</f>
        <v>#REF!</v>
      </c>
      <c r="Q205" s="289" t="e">
        <f>IF(#REF!&gt;0,'Segmented SAUC'!Q$98)+'Segmented SAUC'!Q$99*#REF!+IF(#REF!&gt;0,'Segmented SAUC'!Q$102)+'Segmented SAUC'!Q$103*#REF!+IF(#REF!&gt;0,'Segmented SAUC'!Q$106)+'Segmented SAUC'!Q$107*#REF!</f>
        <v>#REF!</v>
      </c>
      <c r="R205" s="289" t="e">
        <f>IF(#REF!&gt;0,'Segmented SAUC'!R$98)+'Segmented SAUC'!R$99*#REF!+IF(#REF!&gt;0,'Segmented SAUC'!R$102)+'Segmented SAUC'!R$103*#REF!+IF(#REF!&gt;0,'Segmented SAUC'!R$106)+'Segmented SAUC'!R$107*#REF!</f>
        <v>#REF!</v>
      </c>
    </row>
    <row r="206" spans="1:18">
      <c r="A206" s="261" t="e">
        <f>#REF!</f>
        <v>#REF!</v>
      </c>
      <c r="B206" s="289"/>
      <c r="C206" s="289" t="e">
        <f>IF(#REF!&gt;0,'Segmented SAUC'!C$98)+'Segmented SAUC'!C$99*#REF!+IF(#REF!&gt;0,'Segmented SAUC'!C$102)+'Segmented SAUC'!C$103*#REF!+IF(#REF!&gt;0,'Segmented SAUC'!C$106)+'Segmented SAUC'!C$107*#REF!</f>
        <v>#REF!</v>
      </c>
      <c r="D206" s="289" t="e">
        <f>IF(#REF!&gt;0,'Segmented SAUC'!D$98)+'Segmented SAUC'!D$99*#REF!+IF(#REF!&gt;0,'Segmented SAUC'!D$102)+'Segmented SAUC'!D$103*#REF!+IF(#REF!&gt;0,'Segmented SAUC'!D$106)+'Segmented SAUC'!D$107*#REF!</f>
        <v>#REF!</v>
      </c>
      <c r="E206" s="289" t="e">
        <f>IF(#REF!&gt;0,'Segmented SAUC'!E$98)+'Segmented SAUC'!E$99*#REF!+IF(#REF!&gt;0,'Segmented SAUC'!E$102)+'Segmented SAUC'!E$103*#REF!+IF(#REF!&gt;0,'Segmented SAUC'!E$106)+'Segmented SAUC'!E$107*#REF!</f>
        <v>#REF!</v>
      </c>
      <c r="F206" s="289" t="e">
        <f>IF(#REF!&gt;0,'Segmented SAUC'!F$98)+'Segmented SAUC'!F$99*#REF!+IF(#REF!&gt;0,'Segmented SAUC'!F$102)+'Segmented SAUC'!F$103*#REF!+IF(#REF!&gt;0,'Segmented SAUC'!F$106)+'Segmented SAUC'!F$107*#REF!</f>
        <v>#REF!</v>
      </c>
      <c r="G206" s="289" t="e">
        <f>IF(#REF!&gt;0,'Segmented SAUC'!G$98)+'Segmented SAUC'!G$99*#REF!+IF(#REF!&gt;0,'Segmented SAUC'!G$102)+'Segmented SAUC'!G$103*#REF!+IF(#REF!&gt;0,'Segmented SAUC'!G$106)+'Segmented SAUC'!G$107*#REF!</f>
        <v>#REF!</v>
      </c>
      <c r="H206" s="289" t="e">
        <f>IF(#REF!&gt;0,'Segmented SAUC'!H$98)+'Segmented SAUC'!H$99*#REF!+IF(#REF!&gt;0,'Segmented SAUC'!H$102)+'Segmented SAUC'!H$103*#REF!+IF(#REF!&gt;0,'Segmented SAUC'!H$106)+'Segmented SAUC'!H$107*#REF!</f>
        <v>#REF!</v>
      </c>
      <c r="I206" s="290" t="e">
        <f>IF(#REF!&gt;0,'Segmented SAUC'!I$98)+'Segmented SAUC'!I$99*#REF!+IF(#REF!&gt;0,'Segmented SAUC'!I$102)+'Segmented SAUC'!I$103*#REF!+IF(#REF!&gt;0,'Segmented SAUC'!I$106)+'Segmented SAUC'!I$107*#REF!</f>
        <v>#REF!</v>
      </c>
      <c r="J206" s="289" t="e">
        <f>IF(#REF!&gt;0,'Segmented SAUC'!J$98)+'Segmented SAUC'!J$99*#REF!+IF(#REF!&gt;0,'Segmented SAUC'!J$102)+'Segmented SAUC'!J$103*#REF!+IF(#REF!&gt;0,'Segmented SAUC'!J$106)+'Segmented SAUC'!J$107*#REF!</f>
        <v>#REF!</v>
      </c>
      <c r="K206" s="289" t="e">
        <f>IF(#REF!&gt;0,'Segmented SAUC'!K$98)+'Segmented SAUC'!K$99*#REF!+IF(#REF!&gt;0,'Segmented SAUC'!K$102)+'Segmented SAUC'!K$103*#REF!+IF(#REF!&gt;0,'Segmented SAUC'!K$106)+'Segmented SAUC'!K$107*#REF!</f>
        <v>#REF!</v>
      </c>
      <c r="L206" s="289" t="e">
        <f>IF(#REF!&gt;0,'Segmented SAUC'!L$98)+'Segmented SAUC'!L$99*#REF!+IF(#REF!&gt;0,'Segmented SAUC'!L$102)+'Segmented SAUC'!L$103*#REF!+IF(#REF!&gt;0,'Segmented SAUC'!L$106)+'Segmented SAUC'!L$107*#REF!</f>
        <v>#REF!</v>
      </c>
      <c r="M206" s="289" t="e">
        <f>IF(#REF!&gt;0,'Segmented SAUC'!M$98)+'Segmented SAUC'!M$99*#REF!+IF(#REF!&gt;0,'Segmented SAUC'!M$102)+'Segmented SAUC'!M$103*#REF!+IF(#REF!&gt;0,'Segmented SAUC'!M$106)+'Segmented SAUC'!M$107*#REF!</f>
        <v>#REF!</v>
      </c>
      <c r="N206" s="289" t="e">
        <f>IF(#REF!&gt;0,'Segmented SAUC'!N$98)+'Segmented SAUC'!N$99*#REF!+IF(#REF!&gt;0,'Segmented SAUC'!N$102)+'Segmented SAUC'!N$103*#REF!+IF(#REF!&gt;0,'Segmented SAUC'!N$106)+'Segmented SAUC'!N$107*#REF!</f>
        <v>#REF!</v>
      </c>
      <c r="O206" s="289" t="e">
        <f>IF(#REF!&gt;0,'Segmented SAUC'!O$98)+'Segmented SAUC'!O$99*#REF!+IF(#REF!&gt;0,'Segmented SAUC'!O$102)+'Segmented SAUC'!O$103*#REF!+IF(#REF!&gt;0,'Segmented SAUC'!O$106)+'Segmented SAUC'!O$107*#REF!</f>
        <v>#REF!</v>
      </c>
      <c r="P206" s="289" t="e">
        <f>IF(#REF!&gt;0,'Segmented SAUC'!P$98)+'Segmented SAUC'!P$99*#REF!+IF(#REF!&gt;0,'Segmented SAUC'!P$102)+'Segmented SAUC'!P$103*#REF!+IF(#REF!&gt;0,'Segmented SAUC'!P$106)+'Segmented SAUC'!P$107*#REF!</f>
        <v>#REF!</v>
      </c>
      <c r="Q206" s="289" t="e">
        <f>IF(#REF!&gt;0,'Segmented SAUC'!Q$98)+'Segmented SAUC'!Q$99*#REF!+IF(#REF!&gt;0,'Segmented SAUC'!Q$102)+'Segmented SAUC'!Q$103*#REF!+IF(#REF!&gt;0,'Segmented SAUC'!Q$106)+'Segmented SAUC'!Q$107*#REF!</f>
        <v>#REF!</v>
      </c>
      <c r="R206" s="289" t="e">
        <f>IF(#REF!&gt;0,'Segmented SAUC'!R$98)+'Segmented SAUC'!R$99*#REF!+IF(#REF!&gt;0,'Segmented SAUC'!R$102)+'Segmented SAUC'!R$103*#REF!+IF(#REF!&gt;0,'Segmented SAUC'!R$106)+'Segmented SAUC'!R$107*#REF!</f>
        <v>#REF!</v>
      </c>
    </row>
    <row r="207" spans="1:18">
      <c r="A207" s="261" t="e">
        <f>#REF!</f>
        <v>#REF!</v>
      </c>
      <c r="B207" s="289"/>
      <c r="C207" s="289" t="e">
        <f>IF(#REF!&gt;0,'Segmented SAUC'!C$98)+'Segmented SAUC'!C$99*#REF!+IF(#REF!&gt;0,'Segmented SAUC'!C$102)+'Segmented SAUC'!C$103*#REF!+IF(#REF!&gt;0,'Segmented SAUC'!C$106)+'Segmented SAUC'!C$107*#REF!</f>
        <v>#REF!</v>
      </c>
      <c r="D207" s="289" t="e">
        <f>IF(#REF!&gt;0,'Segmented SAUC'!D$98)+'Segmented SAUC'!D$99*#REF!+IF(#REF!&gt;0,'Segmented SAUC'!D$102)+'Segmented SAUC'!D$103*#REF!+IF(#REF!&gt;0,'Segmented SAUC'!D$106)+'Segmented SAUC'!D$107*#REF!</f>
        <v>#REF!</v>
      </c>
      <c r="E207" s="289" t="e">
        <f>IF(#REF!&gt;0,'Segmented SAUC'!E$98)+'Segmented SAUC'!E$99*#REF!+IF(#REF!&gt;0,'Segmented SAUC'!E$102)+'Segmented SAUC'!E$103*#REF!+IF(#REF!&gt;0,'Segmented SAUC'!E$106)+'Segmented SAUC'!E$107*#REF!</f>
        <v>#REF!</v>
      </c>
      <c r="F207" s="289" t="e">
        <f>IF(#REF!&gt;0,'Segmented SAUC'!F$98)+'Segmented SAUC'!F$99*#REF!+IF(#REF!&gt;0,'Segmented SAUC'!F$102)+'Segmented SAUC'!F$103*#REF!+IF(#REF!&gt;0,'Segmented SAUC'!F$106)+'Segmented SAUC'!F$107*#REF!</f>
        <v>#REF!</v>
      </c>
      <c r="G207" s="289" t="e">
        <f>IF(#REF!&gt;0,'Segmented SAUC'!G$98)+'Segmented SAUC'!G$99*#REF!+IF(#REF!&gt;0,'Segmented SAUC'!G$102)+'Segmented SAUC'!G$103*#REF!+IF(#REF!&gt;0,'Segmented SAUC'!G$106)+'Segmented SAUC'!G$107*#REF!</f>
        <v>#REF!</v>
      </c>
      <c r="H207" s="289" t="e">
        <f>IF(#REF!&gt;0,'Segmented SAUC'!H$98)+'Segmented SAUC'!H$99*#REF!+IF(#REF!&gt;0,'Segmented SAUC'!H$102)+'Segmented SAUC'!H$103*#REF!+IF(#REF!&gt;0,'Segmented SAUC'!H$106)+'Segmented SAUC'!H$107*#REF!</f>
        <v>#REF!</v>
      </c>
      <c r="I207" s="290" t="e">
        <f>IF(#REF!&gt;0,'Segmented SAUC'!I$98)+'Segmented SAUC'!I$99*#REF!+IF(#REF!&gt;0,'Segmented SAUC'!I$102)+'Segmented SAUC'!I$103*#REF!+IF(#REF!&gt;0,'Segmented SAUC'!I$106)+'Segmented SAUC'!I$107*#REF!</f>
        <v>#REF!</v>
      </c>
      <c r="J207" s="289" t="e">
        <f>IF(#REF!&gt;0,'Segmented SAUC'!J$98)+'Segmented SAUC'!J$99*#REF!+IF(#REF!&gt;0,'Segmented SAUC'!J$102)+'Segmented SAUC'!J$103*#REF!+IF(#REF!&gt;0,'Segmented SAUC'!J$106)+'Segmented SAUC'!J$107*#REF!</f>
        <v>#REF!</v>
      </c>
      <c r="K207" s="289" t="e">
        <f>IF(#REF!&gt;0,'Segmented SAUC'!K$98)+'Segmented SAUC'!K$99*#REF!+IF(#REF!&gt;0,'Segmented SAUC'!K$102)+'Segmented SAUC'!K$103*#REF!+IF(#REF!&gt;0,'Segmented SAUC'!K$106)+'Segmented SAUC'!K$107*#REF!</f>
        <v>#REF!</v>
      </c>
      <c r="L207" s="289" t="e">
        <f>IF(#REF!&gt;0,'Segmented SAUC'!L$98)+'Segmented SAUC'!L$99*#REF!+IF(#REF!&gt;0,'Segmented SAUC'!L$102)+'Segmented SAUC'!L$103*#REF!+IF(#REF!&gt;0,'Segmented SAUC'!L$106)+'Segmented SAUC'!L$107*#REF!</f>
        <v>#REF!</v>
      </c>
      <c r="M207" s="289" t="e">
        <f>IF(#REF!&gt;0,'Segmented SAUC'!M$98)+'Segmented SAUC'!M$99*#REF!+IF(#REF!&gt;0,'Segmented SAUC'!M$102)+'Segmented SAUC'!M$103*#REF!+IF(#REF!&gt;0,'Segmented SAUC'!M$106)+'Segmented SAUC'!M$107*#REF!</f>
        <v>#REF!</v>
      </c>
      <c r="N207" s="289" t="e">
        <f>IF(#REF!&gt;0,'Segmented SAUC'!N$98)+'Segmented SAUC'!N$99*#REF!+IF(#REF!&gt;0,'Segmented SAUC'!N$102)+'Segmented SAUC'!N$103*#REF!+IF(#REF!&gt;0,'Segmented SAUC'!N$106)+'Segmented SAUC'!N$107*#REF!</f>
        <v>#REF!</v>
      </c>
      <c r="O207" s="289" t="e">
        <f>IF(#REF!&gt;0,'Segmented SAUC'!O$98)+'Segmented SAUC'!O$99*#REF!+IF(#REF!&gt;0,'Segmented SAUC'!O$102)+'Segmented SAUC'!O$103*#REF!+IF(#REF!&gt;0,'Segmented SAUC'!O$106)+'Segmented SAUC'!O$107*#REF!</f>
        <v>#REF!</v>
      </c>
      <c r="P207" s="289" t="e">
        <f>IF(#REF!&gt;0,'Segmented SAUC'!P$98)+'Segmented SAUC'!P$99*#REF!+IF(#REF!&gt;0,'Segmented SAUC'!P$102)+'Segmented SAUC'!P$103*#REF!+IF(#REF!&gt;0,'Segmented SAUC'!P$106)+'Segmented SAUC'!P$107*#REF!</f>
        <v>#REF!</v>
      </c>
      <c r="Q207" s="289" t="e">
        <f>IF(#REF!&gt;0,'Segmented SAUC'!Q$98)+'Segmented SAUC'!Q$99*#REF!+IF(#REF!&gt;0,'Segmented SAUC'!Q$102)+'Segmented SAUC'!Q$103*#REF!+IF(#REF!&gt;0,'Segmented SAUC'!Q$106)+'Segmented SAUC'!Q$107*#REF!</f>
        <v>#REF!</v>
      </c>
      <c r="R207" s="289" t="e">
        <f>IF(#REF!&gt;0,'Segmented SAUC'!R$98)+'Segmented SAUC'!R$99*#REF!+IF(#REF!&gt;0,'Segmented SAUC'!R$102)+'Segmented SAUC'!R$103*#REF!+IF(#REF!&gt;0,'Segmented SAUC'!R$106)+'Segmented SAUC'!R$107*#REF!</f>
        <v>#REF!</v>
      </c>
    </row>
    <row r="208" spans="1:18">
      <c r="A208" s="261" t="e">
        <f>#REF!</f>
        <v>#REF!</v>
      </c>
      <c r="B208" s="289"/>
      <c r="C208" s="289" t="e">
        <f>IF(#REF!&gt;0,'Segmented SAUC'!C$98)+'Segmented SAUC'!C$99*#REF!+IF(#REF!&gt;0,'Segmented SAUC'!C$102)+'Segmented SAUC'!C$103*#REF!+IF(#REF!&gt;0,'Segmented SAUC'!C$106)+'Segmented SAUC'!C$107*#REF!</f>
        <v>#REF!</v>
      </c>
      <c r="D208" s="289" t="e">
        <f>IF(#REF!&gt;0,'Segmented SAUC'!D$98)+'Segmented SAUC'!D$99*#REF!+IF(#REF!&gt;0,'Segmented SAUC'!D$102)+'Segmented SAUC'!D$103*#REF!+IF(#REF!&gt;0,'Segmented SAUC'!D$106)+'Segmented SAUC'!D$107*#REF!</f>
        <v>#REF!</v>
      </c>
      <c r="E208" s="289" t="e">
        <f>IF(#REF!&gt;0,'Segmented SAUC'!E$98)+'Segmented SAUC'!E$99*#REF!+IF(#REF!&gt;0,'Segmented SAUC'!E$102)+'Segmented SAUC'!E$103*#REF!+IF(#REF!&gt;0,'Segmented SAUC'!E$106)+'Segmented SAUC'!E$107*#REF!</f>
        <v>#REF!</v>
      </c>
      <c r="F208" s="289" t="e">
        <f>IF(#REF!&gt;0,'Segmented SAUC'!F$98)+'Segmented SAUC'!F$99*#REF!+IF(#REF!&gt;0,'Segmented SAUC'!F$102)+'Segmented SAUC'!F$103*#REF!+IF(#REF!&gt;0,'Segmented SAUC'!F$106)+'Segmented SAUC'!F$107*#REF!</f>
        <v>#REF!</v>
      </c>
      <c r="G208" s="289" t="e">
        <f>IF(#REF!&gt;0,'Segmented SAUC'!G$98)+'Segmented SAUC'!G$99*#REF!+IF(#REF!&gt;0,'Segmented SAUC'!G$102)+'Segmented SAUC'!G$103*#REF!+IF(#REF!&gt;0,'Segmented SAUC'!G$106)+'Segmented SAUC'!G$107*#REF!</f>
        <v>#REF!</v>
      </c>
      <c r="H208" s="289" t="e">
        <f>IF(#REF!&gt;0,'Segmented SAUC'!H$98)+'Segmented SAUC'!H$99*#REF!+IF(#REF!&gt;0,'Segmented SAUC'!H$102)+'Segmented SAUC'!H$103*#REF!+IF(#REF!&gt;0,'Segmented SAUC'!H$106)+'Segmented SAUC'!H$107*#REF!</f>
        <v>#REF!</v>
      </c>
      <c r="I208" s="290" t="e">
        <f>IF(#REF!&gt;0,'Segmented SAUC'!I$98)+'Segmented SAUC'!I$99*#REF!+IF(#REF!&gt;0,'Segmented SAUC'!I$102)+'Segmented SAUC'!I$103*#REF!+IF(#REF!&gt;0,'Segmented SAUC'!I$106)+'Segmented SAUC'!I$107*#REF!</f>
        <v>#REF!</v>
      </c>
      <c r="J208" s="289" t="e">
        <f>IF(#REF!&gt;0,'Segmented SAUC'!J$98)+'Segmented SAUC'!J$99*#REF!+IF(#REF!&gt;0,'Segmented SAUC'!J$102)+'Segmented SAUC'!J$103*#REF!+IF(#REF!&gt;0,'Segmented SAUC'!J$106)+'Segmented SAUC'!J$107*#REF!</f>
        <v>#REF!</v>
      </c>
      <c r="K208" s="289" t="e">
        <f>IF(#REF!&gt;0,'Segmented SAUC'!K$98)+'Segmented SAUC'!K$99*#REF!+IF(#REF!&gt;0,'Segmented SAUC'!K$102)+'Segmented SAUC'!K$103*#REF!+IF(#REF!&gt;0,'Segmented SAUC'!K$106)+'Segmented SAUC'!K$107*#REF!</f>
        <v>#REF!</v>
      </c>
      <c r="L208" s="289" t="e">
        <f>IF(#REF!&gt;0,'Segmented SAUC'!L$98)+'Segmented SAUC'!L$99*#REF!+IF(#REF!&gt;0,'Segmented SAUC'!L$102)+'Segmented SAUC'!L$103*#REF!+IF(#REF!&gt;0,'Segmented SAUC'!L$106)+'Segmented SAUC'!L$107*#REF!</f>
        <v>#REF!</v>
      </c>
      <c r="M208" s="289" t="e">
        <f>IF(#REF!&gt;0,'Segmented SAUC'!M$98)+'Segmented SAUC'!M$99*#REF!+IF(#REF!&gt;0,'Segmented SAUC'!M$102)+'Segmented SAUC'!M$103*#REF!+IF(#REF!&gt;0,'Segmented SAUC'!M$106)+'Segmented SAUC'!M$107*#REF!</f>
        <v>#REF!</v>
      </c>
      <c r="N208" s="289" t="e">
        <f>IF(#REF!&gt;0,'Segmented SAUC'!N$98)+'Segmented SAUC'!N$99*#REF!+IF(#REF!&gt;0,'Segmented SAUC'!N$102)+'Segmented SAUC'!N$103*#REF!+IF(#REF!&gt;0,'Segmented SAUC'!N$106)+'Segmented SAUC'!N$107*#REF!</f>
        <v>#REF!</v>
      </c>
      <c r="O208" s="289" t="e">
        <f>IF(#REF!&gt;0,'Segmented SAUC'!O$98)+'Segmented SAUC'!O$99*#REF!+IF(#REF!&gt;0,'Segmented SAUC'!O$102)+'Segmented SAUC'!O$103*#REF!+IF(#REF!&gt;0,'Segmented SAUC'!O$106)+'Segmented SAUC'!O$107*#REF!</f>
        <v>#REF!</v>
      </c>
      <c r="P208" s="289" t="e">
        <f>IF(#REF!&gt;0,'Segmented SAUC'!P$98)+'Segmented SAUC'!P$99*#REF!+IF(#REF!&gt;0,'Segmented SAUC'!P$102)+'Segmented SAUC'!P$103*#REF!+IF(#REF!&gt;0,'Segmented SAUC'!P$106)+'Segmented SAUC'!P$107*#REF!</f>
        <v>#REF!</v>
      </c>
      <c r="Q208" s="289" t="e">
        <f>IF(#REF!&gt;0,'Segmented SAUC'!Q$98)+'Segmented SAUC'!Q$99*#REF!+IF(#REF!&gt;0,'Segmented SAUC'!Q$102)+'Segmented SAUC'!Q$103*#REF!+IF(#REF!&gt;0,'Segmented SAUC'!Q$106)+'Segmented SAUC'!Q$107*#REF!</f>
        <v>#REF!</v>
      </c>
      <c r="R208" s="289" t="e">
        <f>IF(#REF!&gt;0,'Segmented SAUC'!R$98)+'Segmented SAUC'!R$99*#REF!+IF(#REF!&gt;0,'Segmented SAUC'!R$102)+'Segmented SAUC'!R$103*#REF!+IF(#REF!&gt;0,'Segmented SAUC'!R$106)+'Segmented SAUC'!R$107*#REF!</f>
        <v>#REF!</v>
      </c>
    </row>
    <row r="209" spans="1:18">
      <c r="A209" s="261" t="e">
        <f>#REF!</f>
        <v>#REF!</v>
      </c>
      <c r="B209" s="289"/>
      <c r="C209" s="289" t="e">
        <f>IF(#REF!&gt;0,'Segmented SAUC'!C$98)+'Segmented SAUC'!C$99*#REF!+IF(#REF!&gt;0,'Segmented SAUC'!C$102)+'Segmented SAUC'!C$103*#REF!+IF(#REF!&gt;0,'Segmented SAUC'!C$106)+'Segmented SAUC'!C$107*#REF!</f>
        <v>#REF!</v>
      </c>
      <c r="D209" s="289" t="e">
        <f>IF(#REF!&gt;0,'Segmented SAUC'!D$98)+'Segmented SAUC'!D$99*#REF!+IF(#REF!&gt;0,'Segmented SAUC'!D$102)+'Segmented SAUC'!D$103*#REF!+IF(#REF!&gt;0,'Segmented SAUC'!D$106)+'Segmented SAUC'!D$107*#REF!</f>
        <v>#REF!</v>
      </c>
      <c r="E209" s="289" t="e">
        <f>IF(#REF!&gt;0,'Segmented SAUC'!E$98)+'Segmented SAUC'!E$99*#REF!+IF(#REF!&gt;0,'Segmented SAUC'!E$102)+'Segmented SAUC'!E$103*#REF!+IF(#REF!&gt;0,'Segmented SAUC'!E$106)+'Segmented SAUC'!E$107*#REF!</f>
        <v>#REF!</v>
      </c>
      <c r="F209" s="289" t="e">
        <f>IF(#REF!&gt;0,'Segmented SAUC'!F$98)+'Segmented SAUC'!F$99*#REF!+IF(#REF!&gt;0,'Segmented SAUC'!F$102)+'Segmented SAUC'!F$103*#REF!+IF(#REF!&gt;0,'Segmented SAUC'!F$106)+'Segmented SAUC'!F$107*#REF!</f>
        <v>#REF!</v>
      </c>
      <c r="G209" s="289" t="e">
        <f>IF(#REF!&gt;0,'Segmented SAUC'!G$98)+'Segmented SAUC'!G$99*#REF!+IF(#REF!&gt;0,'Segmented SAUC'!G$102)+'Segmented SAUC'!G$103*#REF!+IF(#REF!&gt;0,'Segmented SAUC'!G$106)+'Segmented SAUC'!G$107*#REF!</f>
        <v>#REF!</v>
      </c>
      <c r="H209" s="289" t="e">
        <f>IF(#REF!&gt;0,'Segmented SAUC'!H$98)+'Segmented SAUC'!H$99*#REF!+IF(#REF!&gt;0,'Segmented SAUC'!H$102)+'Segmented SAUC'!H$103*#REF!+IF(#REF!&gt;0,'Segmented SAUC'!H$106)+'Segmented SAUC'!H$107*#REF!</f>
        <v>#REF!</v>
      </c>
      <c r="I209" s="290" t="e">
        <f>IF(#REF!&gt;0,'Segmented SAUC'!I$98)+'Segmented SAUC'!I$99*#REF!+IF(#REF!&gt;0,'Segmented SAUC'!I$102)+'Segmented SAUC'!I$103*#REF!+IF(#REF!&gt;0,'Segmented SAUC'!I$106)+'Segmented SAUC'!I$107*#REF!</f>
        <v>#REF!</v>
      </c>
      <c r="J209" s="289" t="e">
        <f>IF(#REF!&gt;0,'Segmented SAUC'!J$98)+'Segmented SAUC'!J$99*#REF!+IF(#REF!&gt;0,'Segmented SAUC'!J$102)+'Segmented SAUC'!J$103*#REF!+IF(#REF!&gt;0,'Segmented SAUC'!J$106)+'Segmented SAUC'!J$107*#REF!</f>
        <v>#REF!</v>
      </c>
      <c r="K209" s="289" t="e">
        <f>IF(#REF!&gt;0,'Segmented SAUC'!K$98)+'Segmented SAUC'!K$99*#REF!+IF(#REF!&gt;0,'Segmented SAUC'!K$102)+'Segmented SAUC'!K$103*#REF!+IF(#REF!&gt;0,'Segmented SAUC'!K$106)+'Segmented SAUC'!K$107*#REF!</f>
        <v>#REF!</v>
      </c>
      <c r="L209" s="289" t="e">
        <f>IF(#REF!&gt;0,'Segmented SAUC'!L$98)+'Segmented SAUC'!L$99*#REF!+IF(#REF!&gt;0,'Segmented SAUC'!L$102)+'Segmented SAUC'!L$103*#REF!+IF(#REF!&gt;0,'Segmented SAUC'!L$106)+'Segmented SAUC'!L$107*#REF!</f>
        <v>#REF!</v>
      </c>
      <c r="M209" s="289" t="e">
        <f>IF(#REF!&gt;0,'Segmented SAUC'!M$98)+'Segmented SAUC'!M$99*#REF!+IF(#REF!&gt;0,'Segmented SAUC'!M$102)+'Segmented SAUC'!M$103*#REF!+IF(#REF!&gt;0,'Segmented SAUC'!M$106)+'Segmented SAUC'!M$107*#REF!</f>
        <v>#REF!</v>
      </c>
      <c r="N209" s="289" t="e">
        <f>IF(#REF!&gt;0,'Segmented SAUC'!N$98)+'Segmented SAUC'!N$99*#REF!+IF(#REF!&gt;0,'Segmented SAUC'!N$102)+'Segmented SAUC'!N$103*#REF!+IF(#REF!&gt;0,'Segmented SAUC'!N$106)+'Segmented SAUC'!N$107*#REF!</f>
        <v>#REF!</v>
      </c>
      <c r="O209" s="289" t="e">
        <f>IF(#REF!&gt;0,'Segmented SAUC'!O$98)+'Segmented SAUC'!O$99*#REF!+IF(#REF!&gt;0,'Segmented SAUC'!O$102)+'Segmented SAUC'!O$103*#REF!+IF(#REF!&gt;0,'Segmented SAUC'!O$106)+'Segmented SAUC'!O$107*#REF!</f>
        <v>#REF!</v>
      </c>
      <c r="P209" s="289" t="e">
        <f>IF(#REF!&gt;0,'Segmented SAUC'!P$98)+'Segmented SAUC'!P$99*#REF!+IF(#REF!&gt;0,'Segmented SAUC'!P$102)+'Segmented SAUC'!P$103*#REF!+IF(#REF!&gt;0,'Segmented SAUC'!P$106)+'Segmented SAUC'!P$107*#REF!</f>
        <v>#REF!</v>
      </c>
      <c r="Q209" s="289" t="e">
        <f>IF(#REF!&gt;0,'Segmented SAUC'!Q$98)+'Segmented SAUC'!Q$99*#REF!+IF(#REF!&gt;0,'Segmented SAUC'!Q$102)+'Segmented SAUC'!Q$103*#REF!+IF(#REF!&gt;0,'Segmented SAUC'!Q$106)+'Segmented SAUC'!Q$107*#REF!</f>
        <v>#REF!</v>
      </c>
      <c r="R209" s="289" t="e">
        <f>IF(#REF!&gt;0,'Segmented SAUC'!R$98)+'Segmented SAUC'!R$99*#REF!+IF(#REF!&gt;0,'Segmented SAUC'!R$102)+'Segmented SAUC'!R$103*#REF!+IF(#REF!&gt;0,'Segmented SAUC'!R$106)+'Segmented SAUC'!R$107*#REF!</f>
        <v>#REF!</v>
      </c>
    </row>
    <row r="210" spans="1:18">
      <c r="A210" s="261" t="e">
        <f>#REF!</f>
        <v>#REF!</v>
      </c>
      <c r="B210" s="289"/>
      <c r="C210" s="289" t="e">
        <f>IF(#REF!&gt;0,'Segmented SAUC'!C$98)+'Segmented SAUC'!C$99*#REF!+IF(#REF!&gt;0,'Segmented SAUC'!C$102)+'Segmented SAUC'!C$103*#REF!+IF(#REF!&gt;0,'Segmented SAUC'!C$106)+'Segmented SAUC'!C$107*#REF!</f>
        <v>#REF!</v>
      </c>
      <c r="D210" s="289" t="e">
        <f>IF(#REF!&gt;0,'Segmented SAUC'!D$98)+'Segmented SAUC'!D$99*#REF!+IF(#REF!&gt;0,'Segmented SAUC'!D$102)+'Segmented SAUC'!D$103*#REF!+IF(#REF!&gt;0,'Segmented SAUC'!D$106)+'Segmented SAUC'!D$107*#REF!</f>
        <v>#REF!</v>
      </c>
      <c r="E210" s="289" t="e">
        <f>IF(#REF!&gt;0,'Segmented SAUC'!E$98)+'Segmented SAUC'!E$99*#REF!+IF(#REF!&gt;0,'Segmented SAUC'!E$102)+'Segmented SAUC'!E$103*#REF!+IF(#REF!&gt;0,'Segmented SAUC'!E$106)+'Segmented SAUC'!E$107*#REF!</f>
        <v>#REF!</v>
      </c>
      <c r="F210" s="289" t="e">
        <f>IF(#REF!&gt;0,'Segmented SAUC'!F$98)+'Segmented SAUC'!F$99*#REF!+IF(#REF!&gt;0,'Segmented SAUC'!F$102)+'Segmented SAUC'!F$103*#REF!+IF(#REF!&gt;0,'Segmented SAUC'!F$106)+'Segmented SAUC'!F$107*#REF!</f>
        <v>#REF!</v>
      </c>
      <c r="G210" s="289" t="e">
        <f>IF(#REF!&gt;0,'Segmented SAUC'!G$98)+'Segmented SAUC'!G$99*#REF!+IF(#REF!&gt;0,'Segmented SAUC'!G$102)+'Segmented SAUC'!G$103*#REF!+IF(#REF!&gt;0,'Segmented SAUC'!G$106)+'Segmented SAUC'!G$107*#REF!</f>
        <v>#REF!</v>
      </c>
      <c r="H210" s="289" t="e">
        <f>IF(#REF!&gt;0,'Segmented SAUC'!H$98)+'Segmented SAUC'!H$99*#REF!+IF(#REF!&gt;0,'Segmented SAUC'!H$102)+'Segmented SAUC'!H$103*#REF!+IF(#REF!&gt;0,'Segmented SAUC'!H$106)+'Segmented SAUC'!H$107*#REF!</f>
        <v>#REF!</v>
      </c>
      <c r="I210" s="290" t="e">
        <f>IF(#REF!&gt;0,'Segmented SAUC'!I$98)+'Segmented SAUC'!I$99*#REF!+IF(#REF!&gt;0,'Segmented SAUC'!I$102)+'Segmented SAUC'!I$103*#REF!+IF(#REF!&gt;0,'Segmented SAUC'!I$106)+'Segmented SAUC'!I$107*#REF!</f>
        <v>#REF!</v>
      </c>
      <c r="J210" s="289" t="e">
        <f>IF(#REF!&gt;0,'Segmented SAUC'!J$98)+'Segmented SAUC'!J$99*#REF!+IF(#REF!&gt;0,'Segmented SAUC'!J$102)+'Segmented SAUC'!J$103*#REF!+IF(#REF!&gt;0,'Segmented SAUC'!J$106)+'Segmented SAUC'!J$107*#REF!</f>
        <v>#REF!</v>
      </c>
      <c r="K210" s="289" t="e">
        <f>IF(#REF!&gt;0,'Segmented SAUC'!K$98)+'Segmented SAUC'!K$99*#REF!+IF(#REF!&gt;0,'Segmented SAUC'!K$102)+'Segmented SAUC'!K$103*#REF!+IF(#REF!&gt;0,'Segmented SAUC'!K$106)+'Segmented SAUC'!K$107*#REF!</f>
        <v>#REF!</v>
      </c>
      <c r="L210" s="289" t="e">
        <f>IF(#REF!&gt;0,'Segmented SAUC'!L$98)+'Segmented SAUC'!L$99*#REF!+IF(#REF!&gt;0,'Segmented SAUC'!L$102)+'Segmented SAUC'!L$103*#REF!+IF(#REF!&gt;0,'Segmented SAUC'!L$106)+'Segmented SAUC'!L$107*#REF!</f>
        <v>#REF!</v>
      </c>
      <c r="M210" s="289" t="e">
        <f>IF(#REF!&gt;0,'Segmented SAUC'!M$98)+'Segmented SAUC'!M$99*#REF!+IF(#REF!&gt;0,'Segmented SAUC'!M$102)+'Segmented SAUC'!M$103*#REF!+IF(#REF!&gt;0,'Segmented SAUC'!M$106)+'Segmented SAUC'!M$107*#REF!</f>
        <v>#REF!</v>
      </c>
      <c r="N210" s="289" t="e">
        <f>IF(#REF!&gt;0,'Segmented SAUC'!N$98)+'Segmented SAUC'!N$99*#REF!+IF(#REF!&gt;0,'Segmented SAUC'!N$102)+'Segmented SAUC'!N$103*#REF!+IF(#REF!&gt;0,'Segmented SAUC'!N$106)+'Segmented SAUC'!N$107*#REF!</f>
        <v>#REF!</v>
      </c>
      <c r="O210" s="289" t="e">
        <f>IF(#REF!&gt;0,'Segmented SAUC'!O$98)+'Segmented SAUC'!O$99*#REF!+IF(#REF!&gt;0,'Segmented SAUC'!O$102)+'Segmented SAUC'!O$103*#REF!+IF(#REF!&gt;0,'Segmented SAUC'!O$106)+'Segmented SAUC'!O$107*#REF!</f>
        <v>#REF!</v>
      </c>
      <c r="P210" s="289" t="e">
        <f>IF(#REF!&gt;0,'Segmented SAUC'!P$98)+'Segmented SAUC'!P$99*#REF!+IF(#REF!&gt;0,'Segmented SAUC'!P$102)+'Segmented SAUC'!P$103*#REF!+IF(#REF!&gt;0,'Segmented SAUC'!P$106)+'Segmented SAUC'!P$107*#REF!</f>
        <v>#REF!</v>
      </c>
      <c r="Q210" s="289" t="e">
        <f>IF(#REF!&gt;0,'Segmented SAUC'!Q$98)+'Segmented SAUC'!Q$99*#REF!+IF(#REF!&gt;0,'Segmented SAUC'!Q$102)+'Segmented SAUC'!Q$103*#REF!+IF(#REF!&gt;0,'Segmented SAUC'!Q$106)+'Segmented SAUC'!Q$107*#REF!</f>
        <v>#REF!</v>
      </c>
      <c r="R210" s="289" t="e">
        <f>IF(#REF!&gt;0,'Segmented SAUC'!R$98)+'Segmented SAUC'!R$99*#REF!+IF(#REF!&gt;0,'Segmented SAUC'!R$102)+'Segmented SAUC'!R$103*#REF!+IF(#REF!&gt;0,'Segmented SAUC'!R$106)+'Segmented SAUC'!R$107*#REF!</f>
        <v>#REF!</v>
      </c>
    </row>
    <row r="211" spans="1:18">
      <c r="A211" s="261" t="e">
        <f>#REF!</f>
        <v>#REF!</v>
      </c>
      <c r="B211" s="289"/>
      <c r="C211" s="289" t="e">
        <f>IF(#REF!&gt;0,'Segmented SAUC'!C$98)+'Segmented SAUC'!C$99*#REF!+IF(#REF!&gt;0,'Segmented SAUC'!C$102)+'Segmented SAUC'!C$103*#REF!+IF(#REF!&gt;0,'Segmented SAUC'!C$106)+'Segmented SAUC'!C$107*#REF!</f>
        <v>#REF!</v>
      </c>
      <c r="D211" s="289" t="e">
        <f>IF(#REF!&gt;0,'Segmented SAUC'!D$98)+'Segmented SAUC'!D$99*#REF!+IF(#REF!&gt;0,'Segmented SAUC'!D$102)+'Segmented SAUC'!D$103*#REF!+IF(#REF!&gt;0,'Segmented SAUC'!D$106)+'Segmented SAUC'!D$107*#REF!</f>
        <v>#REF!</v>
      </c>
      <c r="E211" s="289" t="e">
        <f>IF(#REF!&gt;0,'Segmented SAUC'!E$98)+'Segmented SAUC'!E$99*#REF!+IF(#REF!&gt;0,'Segmented SAUC'!E$102)+'Segmented SAUC'!E$103*#REF!+IF(#REF!&gt;0,'Segmented SAUC'!E$106)+'Segmented SAUC'!E$107*#REF!</f>
        <v>#REF!</v>
      </c>
      <c r="F211" s="289" t="e">
        <f>IF(#REF!&gt;0,'Segmented SAUC'!F$98)+'Segmented SAUC'!F$99*#REF!+IF(#REF!&gt;0,'Segmented SAUC'!F$102)+'Segmented SAUC'!F$103*#REF!+IF(#REF!&gt;0,'Segmented SAUC'!F$106)+'Segmented SAUC'!F$107*#REF!</f>
        <v>#REF!</v>
      </c>
      <c r="G211" s="289" t="e">
        <f>IF(#REF!&gt;0,'Segmented SAUC'!G$98)+'Segmented SAUC'!G$99*#REF!+IF(#REF!&gt;0,'Segmented SAUC'!G$102)+'Segmented SAUC'!G$103*#REF!+IF(#REF!&gt;0,'Segmented SAUC'!G$106)+'Segmented SAUC'!G$107*#REF!</f>
        <v>#REF!</v>
      </c>
      <c r="H211" s="289" t="e">
        <f>IF(#REF!&gt;0,'Segmented SAUC'!H$98)+'Segmented SAUC'!H$99*#REF!+IF(#REF!&gt;0,'Segmented SAUC'!H$102)+'Segmented SAUC'!H$103*#REF!+IF(#REF!&gt;0,'Segmented SAUC'!H$106)+'Segmented SAUC'!H$107*#REF!</f>
        <v>#REF!</v>
      </c>
      <c r="I211" s="290" t="e">
        <f>IF(#REF!&gt;0,'Segmented SAUC'!I$98)+'Segmented SAUC'!I$99*#REF!+IF(#REF!&gt;0,'Segmented SAUC'!I$102)+'Segmented SAUC'!I$103*#REF!+IF(#REF!&gt;0,'Segmented SAUC'!I$106)+'Segmented SAUC'!I$107*#REF!</f>
        <v>#REF!</v>
      </c>
      <c r="J211" s="289" t="e">
        <f>IF(#REF!&gt;0,'Segmented SAUC'!J$98)+'Segmented SAUC'!J$99*#REF!+IF(#REF!&gt;0,'Segmented SAUC'!J$102)+'Segmented SAUC'!J$103*#REF!+IF(#REF!&gt;0,'Segmented SAUC'!J$106)+'Segmented SAUC'!J$107*#REF!</f>
        <v>#REF!</v>
      </c>
      <c r="K211" s="289" t="e">
        <f>IF(#REF!&gt;0,'Segmented SAUC'!K$98)+'Segmented SAUC'!K$99*#REF!+IF(#REF!&gt;0,'Segmented SAUC'!K$102)+'Segmented SAUC'!K$103*#REF!+IF(#REF!&gt;0,'Segmented SAUC'!K$106)+'Segmented SAUC'!K$107*#REF!</f>
        <v>#REF!</v>
      </c>
      <c r="L211" s="289" t="e">
        <f>IF(#REF!&gt;0,'Segmented SAUC'!L$98)+'Segmented SAUC'!L$99*#REF!+IF(#REF!&gt;0,'Segmented SAUC'!L$102)+'Segmented SAUC'!L$103*#REF!+IF(#REF!&gt;0,'Segmented SAUC'!L$106)+'Segmented SAUC'!L$107*#REF!</f>
        <v>#REF!</v>
      </c>
      <c r="M211" s="289" t="e">
        <f>IF(#REF!&gt;0,'Segmented SAUC'!M$98)+'Segmented SAUC'!M$99*#REF!+IF(#REF!&gt;0,'Segmented SAUC'!M$102)+'Segmented SAUC'!M$103*#REF!+IF(#REF!&gt;0,'Segmented SAUC'!M$106)+'Segmented SAUC'!M$107*#REF!</f>
        <v>#REF!</v>
      </c>
      <c r="N211" s="289" t="e">
        <f>IF(#REF!&gt;0,'Segmented SAUC'!N$98)+'Segmented SAUC'!N$99*#REF!+IF(#REF!&gt;0,'Segmented SAUC'!N$102)+'Segmented SAUC'!N$103*#REF!+IF(#REF!&gt;0,'Segmented SAUC'!N$106)+'Segmented SAUC'!N$107*#REF!</f>
        <v>#REF!</v>
      </c>
      <c r="O211" s="289" t="e">
        <f>IF(#REF!&gt;0,'Segmented SAUC'!O$98)+'Segmented SAUC'!O$99*#REF!+IF(#REF!&gt;0,'Segmented SAUC'!O$102)+'Segmented SAUC'!O$103*#REF!+IF(#REF!&gt;0,'Segmented SAUC'!O$106)+'Segmented SAUC'!O$107*#REF!</f>
        <v>#REF!</v>
      </c>
      <c r="P211" s="289" t="e">
        <f>IF(#REF!&gt;0,'Segmented SAUC'!P$98)+'Segmented SAUC'!P$99*#REF!+IF(#REF!&gt;0,'Segmented SAUC'!P$102)+'Segmented SAUC'!P$103*#REF!+IF(#REF!&gt;0,'Segmented SAUC'!P$106)+'Segmented SAUC'!P$107*#REF!</f>
        <v>#REF!</v>
      </c>
      <c r="Q211" s="289" t="e">
        <f>IF(#REF!&gt;0,'Segmented SAUC'!Q$98)+'Segmented SAUC'!Q$99*#REF!+IF(#REF!&gt;0,'Segmented SAUC'!Q$102)+'Segmented SAUC'!Q$103*#REF!+IF(#REF!&gt;0,'Segmented SAUC'!Q$106)+'Segmented SAUC'!Q$107*#REF!</f>
        <v>#REF!</v>
      </c>
      <c r="R211" s="289" t="e">
        <f>IF(#REF!&gt;0,'Segmented SAUC'!R$98)+'Segmented SAUC'!R$99*#REF!+IF(#REF!&gt;0,'Segmented SAUC'!R$102)+'Segmented SAUC'!R$103*#REF!+IF(#REF!&gt;0,'Segmented SAUC'!R$106)+'Segmented SAUC'!R$107*#REF!</f>
        <v>#REF!</v>
      </c>
    </row>
    <row r="212" spans="1:18">
      <c r="A212" s="261" t="e">
        <f>#REF!</f>
        <v>#REF!</v>
      </c>
      <c r="B212" s="289"/>
      <c r="C212" s="289" t="e">
        <f>IF(#REF!&gt;0,'Segmented SAUC'!C$98)+'Segmented SAUC'!C$99*#REF!+IF(#REF!&gt;0,'Segmented SAUC'!C$102)+'Segmented SAUC'!C$103*#REF!+IF(#REF!&gt;0,'Segmented SAUC'!C$106)+'Segmented SAUC'!C$107*#REF!</f>
        <v>#REF!</v>
      </c>
      <c r="D212" s="289" t="e">
        <f>IF(#REF!&gt;0,'Segmented SAUC'!D$98)+'Segmented SAUC'!D$99*#REF!+IF(#REF!&gt;0,'Segmented SAUC'!D$102)+'Segmented SAUC'!D$103*#REF!+IF(#REF!&gt;0,'Segmented SAUC'!D$106)+'Segmented SAUC'!D$107*#REF!</f>
        <v>#REF!</v>
      </c>
      <c r="E212" s="289" t="e">
        <f>IF(#REF!&gt;0,'Segmented SAUC'!E$98)+'Segmented SAUC'!E$99*#REF!+IF(#REF!&gt;0,'Segmented SAUC'!E$102)+'Segmented SAUC'!E$103*#REF!+IF(#REF!&gt;0,'Segmented SAUC'!E$106)+'Segmented SAUC'!E$107*#REF!</f>
        <v>#REF!</v>
      </c>
      <c r="F212" s="289" t="e">
        <f>IF(#REF!&gt;0,'Segmented SAUC'!F$98)+'Segmented SAUC'!F$99*#REF!+IF(#REF!&gt;0,'Segmented SAUC'!F$102)+'Segmented SAUC'!F$103*#REF!+IF(#REF!&gt;0,'Segmented SAUC'!F$106)+'Segmented SAUC'!F$107*#REF!</f>
        <v>#REF!</v>
      </c>
      <c r="G212" s="289" t="e">
        <f>IF(#REF!&gt;0,'Segmented SAUC'!G$98)+'Segmented SAUC'!G$99*#REF!+IF(#REF!&gt;0,'Segmented SAUC'!G$102)+'Segmented SAUC'!G$103*#REF!+IF(#REF!&gt;0,'Segmented SAUC'!G$106)+'Segmented SAUC'!G$107*#REF!</f>
        <v>#REF!</v>
      </c>
      <c r="H212" s="289" t="e">
        <f>IF(#REF!&gt;0,'Segmented SAUC'!H$98)+'Segmented SAUC'!H$99*#REF!+IF(#REF!&gt;0,'Segmented SAUC'!H$102)+'Segmented SAUC'!H$103*#REF!+IF(#REF!&gt;0,'Segmented SAUC'!H$106)+'Segmented SAUC'!H$107*#REF!</f>
        <v>#REF!</v>
      </c>
      <c r="I212" s="290" t="e">
        <f>IF(#REF!&gt;0,'Segmented SAUC'!I$98)+'Segmented SAUC'!I$99*#REF!+IF(#REF!&gt;0,'Segmented SAUC'!I$102)+'Segmented SAUC'!I$103*#REF!+IF(#REF!&gt;0,'Segmented SAUC'!I$106)+'Segmented SAUC'!I$107*#REF!</f>
        <v>#REF!</v>
      </c>
      <c r="J212" s="289" t="e">
        <f>IF(#REF!&gt;0,'Segmented SAUC'!J$98)+'Segmented SAUC'!J$99*#REF!+IF(#REF!&gt;0,'Segmented SAUC'!J$102)+'Segmented SAUC'!J$103*#REF!+IF(#REF!&gt;0,'Segmented SAUC'!J$106)+'Segmented SAUC'!J$107*#REF!</f>
        <v>#REF!</v>
      </c>
      <c r="K212" s="289" t="e">
        <f>IF(#REF!&gt;0,'Segmented SAUC'!K$98)+'Segmented SAUC'!K$99*#REF!+IF(#REF!&gt;0,'Segmented SAUC'!K$102)+'Segmented SAUC'!K$103*#REF!+IF(#REF!&gt;0,'Segmented SAUC'!K$106)+'Segmented SAUC'!K$107*#REF!</f>
        <v>#REF!</v>
      </c>
      <c r="L212" s="289" t="e">
        <f>IF(#REF!&gt;0,'Segmented SAUC'!L$98)+'Segmented SAUC'!L$99*#REF!+IF(#REF!&gt;0,'Segmented SAUC'!L$102)+'Segmented SAUC'!L$103*#REF!+IF(#REF!&gt;0,'Segmented SAUC'!L$106)+'Segmented SAUC'!L$107*#REF!</f>
        <v>#REF!</v>
      </c>
      <c r="M212" s="289" t="e">
        <f>IF(#REF!&gt;0,'Segmented SAUC'!M$98)+'Segmented SAUC'!M$99*#REF!+IF(#REF!&gt;0,'Segmented SAUC'!M$102)+'Segmented SAUC'!M$103*#REF!+IF(#REF!&gt;0,'Segmented SAUC'!M$106)+'Segmented SAUC'!M$107*#REF!</f>
        <v>#REF!</v>
      </c>
      <c r="N212" s="289" t="e">
        <f>IF(#REF!&gt;0,'Segmented SAUC'!N$98)+'Segmented SAUC'!N$99*#REF!+IF(#REF!&gt;0,'Segmented SAUC'!N$102)+'Segmented SAUC'!N$103*#REF!+IF(#REF!&gt;0,'Segmented SAUC'!N$106)+'Segmented SAUC'!N$107*#REF!</f>
        <v>#REF!</v>
      </c>
      <c r="O212" s="289" t="e">
        <f>IF(#REF!&gt;0,'Segmented SAUC'!O$98)+'Segmented SAUC'!O$99*#REF!+IF(#REF!&gt;0,'Segmented SAUC'!O$102)+'Segmented SAUC'!O$103*#REF!+IF(#REF!&gt;0,'Segmented SAUC'!O$106)+'Segmented SAUC'!O$107*#REF!</f>
        <v>#REF!</v>
      </c>
      <c r="P212" s="289" t="e">
        <f>IF(#REF!&gt;0,'Segmented SAUC'!P$98)+'Segmented SAUC'!P$99*#REF!+IF(#REF!&gt;0,'Segmented SAUC'!P$102)+'Segmented SAUC'!P$103*#REF!+IF(#REF!&gt;0,'Segmented SAUC'!P$106)+'Segmented SAUC'!P$107*#REF!</f>
        <v>#REF!</v>
      </c>
      <c r="Q212" s="289" t="e">
        <f>IF(#REF!&gt;0,'Segmented SAUC'!Q$98)+'Segmented SAUC'!Q$99*#REF!+IF(#REF!&gt;0,'Segmented SAUC'!Q$102)+'Segmented SAUC'!Q$103*#REF!+IF(#REF!&gt;0,'Segmented SAUC'!Q$106)+'Segmented SAUC'!Q$107*#REF!</f>
        <v>#REF!</v>
      </c>
      <c r="R212" s="289" t="e">
        <f>IF(#REF!&gt;0,'Segmented SAUC'!R$98)+'Segmented SAUC'!R$99*#REF!+IF(#REF!&gt;0,'Segmented SAUC'!R$102)+'Segmented SAUC'!R$103*#REF!+IF(#REF!&gt;0,'Segmented SAUC'!R$106)+'Segmented SAUC'!R$107*#REF!</f>
        <v>#REF!</v>
      </c>
    </row>
    <row r="213" spans="1:18" ht="13.8" thickBot="1">
      <c r="A213" s="288"/>
      <c r="B213" s="286"/>
      <c r="C213" s="286"/>
      <c r="D213" s="286"/>
      <c r="E213" s="286"/>
      <c r="F213" s="286"/>
      <c r="G213" s="286"/>
      <c r="H213" s="286"/>
      <c r="I213" s="287"/>
      <c r="J213" s="286"/>
      <c r="K213" s="286"/>
      <c r="L213" s="286"/>
      <c r="M213" s="286"/>
      <c r="N213" s="286"/>
      <c r="O213" s="286"/>
      <c r="P213" s="286"/>
      <c r="Q213" s="286"/>
      <c r="R213" s="285"/>
    </row>
    <row r="214" spans="1:18">
      <c r="A214" s="256"/>
      <c r="B214" s="283"/>
      <c r="C214" s="283"/>
      <c r="D214" s="283"/>
      <c r="E214" s="283"/>
      <c r="F214" s="283"/>
      <c r="G214" s="283"/>
      <c r="H214" s="283"/>
      <c r="I214" s="284"/>
      <c r="J214" s="283"/>
      <c r="K214" s="283"/>
      <c r="L214" s="283"/>
      <c r="M214" s="283"/>
      <c r="N214" s="283"/>
      <c r="O214" s="283"/>
      <c r="P214" s="283"/>
      <c r="Q214" s="283"/>
      <c r="R214" s="283"/>
    </row>
    <row r="215" spans="1:18">
      <c r="A215" s="256"/>
      <c r="B215" s="283"/>
      <c r="C215" s="283"/>
      <c r="D215" s="283"/>
      <c r="E215" s="283"/>
      <c r="F215" s="283"/>
      <c r="G215" s="283"/>
      <c r="H215" s="283"/>
      <c r="I215" s="284"/>
      <c r="J215" s="283"/>
      <c r="K215" s="283"/>
      <c r="L215" s="283"/>
      <c r="M215" s="283"/>
      <c r="N215" s="283"/>
      <c r="O215" s="283"/>
      <c r="P215" s="283"/>
      <c r="Q215" s="283"/>
      <c r="R215" s="283"/>
    </row>
    <row r="216" spans="1:18" s="258" customFormat="1">
      <c r="A216" s="282" t="s">
        <v>269</v>
      </c>
      <c r="B216" s="275"/>
      <c r="C216" s="275"/>
      <c r="D216" s="275"/>
      <c r="E216" s="275"/>
      <c r="F216" s="275"/>
      <c r="G216" s="275"/>
      <c r="H216" s="275"/>
      <c r="I216" s="276"/>
      <c r="J216" s="275"/>
      <c r="K216" s="275"/>
      <c r="L216" s="275"/>
      <c r="M216" s="275"/>
      <c r="N216" s="275"/>
      <c r="O216" s="275"/>
      <c r="P216" s="275"/>
      <c r="Q216" s="275"/>
      <c r="R216" s="275"/>
    </row>
    <row r="217" spans="1:18" s="258" customFormat="1">
      <c r="A217" s="258" t="s">
        <v>72</v>
      </c>
      <c r="B217" s="281"/>
      <c r="C217" s="281" t="e">
        <f>#REF!</f>
        <v>#REF!</v>
      </c>
      <c r="D217" s="281" t="e">
        <f>#REF!</f>
        <v>#REF!</v>
      </c>
      <c r="E217" s="281" t="e">
        <f>#REF!</f>
        <v>#REF!</v>
      </c>
      <c r="F217" s="281" t="e">
        <f>#REF!</f>
        <v>#REF!</v>
      </c>
      <c r="G217" s="281" t="e">
        <f>#REF!</f>
        <v>#REF!</v>
      </c>
      <c r="H217" s="281" t="e">
        <f>#REF!</f>
        <v>#REF!</v>
      </c>
      <c r="I217" s="280" t="e">
        <f t="shared" ref="I217:R217" si="55">H217</f>
        <v>#REF!</v>
      </c>
      <c r="J217" s="280" t="e">
        <f t="shared" si="55"/>
        <v>#REF!</v>
      </c>
      <c r="K217" s="280" t="e">
        <f t="shared" si="55"/>
        <v>#REF!</v>
      </c>
      <c r="L217" s="280" t="e">
        <f t="shared" si="55"/>
        <v>#REF!</v>
      </c>
      <c r="M217" s="280" t="e">
        <f t="shared" si="55"/>
        <v>#REF!</v>
      </c>
      <c r="N217" s="280" t="e">
        <f t="shared" si="55"/>
        <v>#REF!</v>
      </c>
      <c r="O217" s="280" t="e">
        <f t="shared" si="55"/>
        <v>#REF!</v>
      </c>
      <c r="P217" s="280" t="e">
        <f t="shared" si="55"/>
        <v>#REF!</v>
      </c>
      <c r="Q217" s="280" t="e">
        <f t="shared" si="55"/>
        <v>#REF!</v>
      </c>
      <c r="R217" s="280" t="e">
        <f t="shared" si="55"/>
        <v>#REF!</v>
      </c>
    </row>
    <row r="218" spans="1:18" s="258" customFormat="1">
      <c r="A218" s="258" t="s">
        <v>73</v>
      </c>
      <c r="B218" s="281"/>
      <c r="C218" s="281" t="e">
        <f>#REF!</f>
        <v>#REF!</v>
      </c>
      <c r="D218" s="281" t="e">
        <f>#REF!</f>
        <v>#REF!</v>
      </c>
      <c r="E218" s="281" t="e">
        <f>#REF!</f>
        <v>#REF!</v>
      </c>
      <c r="F218" s="281" t="e">
        <f>#REF!</f>
        <v>#REF!</v>
      </c>
      <c r="G218" s="281" t="e">
        <f>#REF!</f>
        <v>#REF!</v>
      </c>
      <c r="H218" s="281" t="e">
        <f>#REF!</f>
        <v>#REF!</v>
      </c>
      <c r="I218" s="280" t="e">
        <f t="shared" ref="I218:R218" si="56">H218</f>
        <v>#REF!</v>
      </c>
      <c r="J218" s="280" t="e">
        <f t="shared" si="56"/>
        <v>#REF!</v>
      </c>
      <c r="K218" s="280" t="e">
        <f t="shared" si="56"/>
        <v>#REF!</v>
      </c>
      <c r="L218" s="280" t="e">
        <f t="shared" si="56"/>
        <v>#REF!</v>
      </c>
      <c r="M218" s="280" t="e">
        <f t="shared" si="56"/>
        <v>#REF!</v>
      </c>
      <c r="N218" s="280" t="e">
        <f t="shared" si="56"/>
        <v>#REF!</v>
      </c>
      <c r="O218" s="280" t="e">
        <f t="shared" si="56"/>
        <v>#REF!</v>
      </c>
      <c r="P218" s="280" t="e">
        <f t="shared" si="56"/>
        <v>#REF!</v>
      </c>
      <c r="Q218" s="280" t="e">
        <f t="shared" si="56"/>
        <v>#REF!</v>
      </c>
      <c r="R218" s="280" t="e">
        <f t="shared" si="56"/>
        <v>#REF!</v>
      </c>
    </row>
    <row r="219" spans="1:18" s="258" customFormat="1">
      <c r="A219" s="258" t="s">
        <v>75</v>
      </c>
      <c r="B219" s="281"/>
      <c r="C219" s="281" t="e">
        <f>#REF!</f>
        <v>#REF!</v>
      </c>
      <c r="D219" s="281" t="e">
        <f>#REF!</f>
        <v>#REF!</v>
      </c>
      <c r="E219" s="281" t="e">
        <f>#REF!</f>
        <v>#REF!</v>
      </c>
      <c r="F219" s="281" t="e">
        <f>#REF!</f>
        <v>#REF!</v>
      </c>
      <c r="G219" s="281" t="e">
        <f>#REF!</f>
        <v>#REF!</v>
      </c>
      <c r="H219" s="281" t="e">
        <f>#REF!</f>
        <v>#REF!</v>
      </c>
      <c r="I219" s="280" t="e">
        <f t="shared" ref="I219:R219" si="57">H219</f>
        <v>#REF!</v>
      </c>
      <c r="J219" s="280" t="e">
        <f t="shared" si="57"/>
        <v>#REF!</v>
      </c>
      <c r="K219" s="280" t="e">
        <f t="shared" si="57"/>
        <v>#REF!</v>
      </c>
      <c r="L219" s="280" t="e">
        <f t="shared" si="57"/>
        <v>#REF!</v>
      </c>
      <c r="M219" s="280" t="e">
        <f t="shared" si="57"/>
        <v>#REF!</v>
      </c>
      <c r="N219" s="280" t="e">
        <f t="shared" si="57"/>
        <v>#REF!</v>
      </c>
      <c r="O219" s="280" t="e">
        <f t="shared" si="57"/>
        <v>#REF!</v>
      </c>
      <c r="P219" s="280" t="e">
        <f t="shared" si="57"/>
        <v>#REF!</v>
      </c>
      <c r="Q219" s="280" t="e">
        <f t="shared" si="57"/>
        <v>#REF!</v>
      </c>
      <c r="R219" s="280" t="e">
        <f t="shared" si="57"/>
        <v>#REF!</v>
      </c>
    </row>
    <row r="220" spans="1:18" s="258" customFormat="1">
      <c r="A220" s="258" t="s">
        <v>74</v>
      </c>
      <c r="B220" s="281"/>
      <c r="C220" s="281" t="e">
        <f>#REF!</f>
        <v>#REF!</v>
      </c>
      <c r="D220" s="281" t="e">
        <f>#REF!</f>
        <v>#REF!</v>
      </c>
      <c r="E220" s="281" t="e">
        <f>#REF!</f>
        <v>#REF!</v>
      </c>
      <c r="F220" s="281" t="e">
        <f>#REF!</f>
        <v>#REF!</v>
      </c>
      <c r="G220" s="281" t="e">
        <f>#REF!</f>
        <v>#REF!</v>
      </c>
      <c r="H220" s="281" t="e">
        <f>#REF!</f>
        <v>#REF!</v>
      </c>
      <c r="I220" s="280" t="e">
        <f t="shared" ref="I220:R220" si="58">H220</f>
        <v>#REF!</v>
      </c>
      <c r="J220" s="280" t="e">
        <f t="shared" si="58"/>
        <v>#REF!</v>
      </c>
      <c r="K220" s="280" t="e">
        <f t="shared" si="58"/>
        <v>#REF!</v>
      </c>
      <c r="L220" s="280" t="e">
        <f t="shared" si="58"/>
        <v>#REF!</v>
      </c>
      <c r="M220" s="280" t="e">
        <f t="shared" si="58"/>
        <v>#REF!</v>
      </c>
      <c r="N220" s="280" t="e">
        <f t="shared" si="58"/>
        <v>#REF!</v>
      </c>
      <c r="O220" s="280" t="e">
        <f t="shared" si="58"/>
        <v>#REF!</v>
      </c>
      <c r="P220" s="280" t="e">
        <f t="shared" si="58"/>
        <v>#REF!</v>
      </c>
      <c r="Q220" s="280" t="e">
        <f t="shared" si="58"/>
        <v>#REF!</v>
      </c>
      <c r="R220" s="280" t="e">
        <f t="shared" si="58"/>
        <v>#REF!</v>
      </c>
    </row>
    <row r="221" spans="1:18" s="277" customFormat="1">
      <c r="B221" s="278"/>
      <c r="C221" s="278">
        <v>3</v>
      </c>
      <c r="D221" s="278">
        <f t="shared" ref="D221:R221" si="59">C221+1</f>
        <v>4</v>
      </c>
      <c r="E221" s="278">
        <f t="shared" si="59"/>
        <v>5</v>
      </c>
      <c r="F221" s="278">
        <f t="shared" si="59"/>
        <v>6</v>
      </c>
      <c r="G221" s="278">
        <f t="shared" si="59"/>
        <v>7</v>
      </c>
      <c r="H221" s="278">
        <f t="shared" si="59"/>
        <v>8</v>
      </c>
      <c r="I221" s="279">
        <f t="shared" si="59"/>
        <v>9</v>
      </c>
      <c r="J221" s="278">
        <f t="shared" si="59"/>
        <v>10</v>
      </c>
      <c r="K221" s="278">
        <f t="shared" si="59"/>
        <v>11</v>
      </c>
      <c r="L221" s="278">
        <f t="shared" si="59"/>
        <v>12</v>
      </c>
      <c r="M221" s="278">
        <f t="shared" si="59"/>
        <v>13</v>
      </c>
      <c r="N221" s="278">
        <f t="shared" si="59"/>
        <v>14</v>
      </c>
      <c r="O221" s="278">
        <f t="shared" si="59"/>
        <v>15</v>
      </c>
      <c r="P221" s="278">
        <f t="shared" si="59"/>
        <v>16</v>
      </c>
      <c r="Q221" s="278">
        <f t="shared" si="59"/>
        <v>17</v>
      </c>
      <c r="R221" s="278">
        <f t="shared" si="59"/>
        <v>18</v>
      </c>
    </row>
    <row r="222" spans="1:18" s="258" customFormat="1">
      <c r="B222" s="275"/>
      <c r="C222" s="275"/>
      <c r="D222" s="275"/>
      <c r="E222" s="275"/>
      <c r="F222" s="275"/>
      <c r="G222" s="275"/>
      <c r="H222" s="275"/>
      <c r="I222" s="276"/>
      <c r="J222" s="275"/>
      <c r="K222" s="275"/>
      <c r="L222" s="275"/>
      <c r="M222" s="275"/>
      <c r="N222" s="275"/>
      <c r="O222" s="275"/>
      <c r="P222" s="275"/>
      <c r="Q222" s="275"/>
      <c r="R222" s="275"/>
    </row>
    <row r="223" spans="1:18" s="258" customFormat="1">
      <c r="A223" s="258" t="s">
        <v>72</v>
      </c>
      <c r="B223" s="275"/>
      <c r="C223" s="275" t="e">
        <f t="shared" ref="C223:R226" si="60">VLOOKUP($A223,$A$123:$R$212,C$221,FALSE)</f>
        <v>#N/A</v>
      </c>
      <c r="D223" s="275" t="e">
        <f t="shared" si="60"/>
        <v>#N/A</v>
      </c>
      <c r="E223" s="275" t="e">
        <f t="shared" si="60"/>
        <v>#N/A</v>
      </c>
      <c r="F223" s="275" t="e">
        <f t="shared" si="60"/>
        <v>#N/A</v>
      </c>
      <c r="G223" s="275" t="e">
        <f t="shared" si="60"/>
        <v>#N/A</v>
      </c>
      <c r="H223" s="275" t="e">
        <f t="shared" si="60"/>
        <v>#N/A</v>
      </c>
      <c r="I223" s="276" t="e">
        <f t="shared" si="60"/>
        <v>#N/A</v>
      </c>
      <c r="J223" s="275" t="e">
        <f t="shared" si="60"/>
        <v>#N/A</v>
      </c>
      <c r="K223" s="275" t="e">
        <f t="shared" si="60"/>
        <v>#N/A</v>
      </c>
      <c r="L223" s="275" t="e">
        <f t="shared" si="60"/>
        <v>#N/A</v>
      </c>
      <c r="M223" s="275" t="e">
        <f t="shared" si="60"/>
        <v>#N/A</v>
      </c>
      <c r="N223" s="275" t="e">
        <f t="shared" si="60"/>
        <v>#N/A</v>
      </c>
      <c r="O223" s="275" t="e">
        <f t="shared" si="60"/>
        <v>#N/A</v>
      </c>
      <c r="P223" s="275" t="e">
        <f t="shared" si="60"/>
        <v>#N/A</v>
      </c>
      <c r="Q223" s="275" t="e">
        <f t="shared" si="60"/>
        <v>#N/A</v>
      </c>
      <c r="R223" s="275" t="e">
        <f t="shared" si="60"/>
        <v>#N/A</v>
      </c>
    </row>
    <row r="224" spans="1:18" s="258" customFormat="1">
      <c r="A224" s="258" t="s">
        <v>73</v>
      </c>
      <c r="B224" s="275"/>
      <c r="C224" s="275" t="e">
        <f>VLOOKUP($A224,$A$123:$R$212,C$221,FALSE)</f>
        <v>#N/A</v>
      </c>
      <c r="D224" s="275" t="e">
        <f t="shared" si="60"/>
        <v>#N/A</v>
      </c>
      <c r="E224" s="275" t="e">
        <f t="shared" si="60"/>
        <v>#N/A</v>
      </c>
      <c r="F224" s="275" t="e">
        <f t="shared" si="60"/>
        <v>#N/A</v>
      </c>
      <c r="G224" s="275" t="e">
        <f t="shared" si="60"/>
        <v>#N/A</v>
      </c>
      <c r="H224" s="275" t="e">
        <f t="shared" si="60"/>
        <v>#N/A</v>
      </c>
      <c r="I224" s="276" t="e">
        <f t="shared" si="60"/>
        <v>#N/A</v>
      </c>
      <c r="J224" s="275" t="e">
        <f t="shared" si="60"/>
        <v>#N/A</v>
      </c>
      <c r="K224" s="275" t="e">
        <f t="shared" si="60"/>
        <v>#N/A</v>
      </c>
      <c r="L224" s="275" t="e">
        <f t="shared" si="60"/>
        <v>#N/A</v>
      </c>
      <c r="M224" s="275" t="e">
        <f t="shared" si="60"/>
        <v>#N/A</v>
      </c>
      <c r="N224" s="275" t="e">
        <f t="shared" si="60"/>
        <v>#N/A</v>
      </c>
      <c r="O224" s="275" t="e">
        <f t="shared" si="60"/>
        <v>#N/A</v>
      </c>
      <c r="P224" s="275" t="e">
        <f t="shared" si="60"/>
        <v>#N/A</v>
      </c>
      <c r="Q224" s="275" t="e">
        <f t="shared" si="60"/>
        <v>#N/A</v>
      </c>
      <c r="R224" s="275" t="e">
        <f t="shared" si="60"/>
        <v>#N/A</v>
      </c>
    </row>
    <row r="225" spans="1:18" s="258" customFormat="1">
      <c r="A225" s="258" t="s">
        <v>75</v>
      </c>
      <c r="B225" s="275"/>
      <c r="C225" s="275" t="e">
        <f t="shared" si="60"/>
        <v>#N/A</v>
      </c>
      <c r="D225" s="275" t="e">
        <f t="shared" si="60"/>
        <v>#N/A</v>
      </c>
      <c r="E225" s="275" t="e">
        <f t="shared" si="60"/>
        <v>#N/A</v>
      </c>
      <c r="F225" s="275" t="e">
        <f t="shared" si="60"/>
        <v>#N/A</v>
      </c>
      <c r="G225" s="275" t="e">
        <f t="shared" si="60"/>
        <v>#N/A</v>
      </c>
      <c r="H225" s="275" t="e">
        <f t="shared" si="60"/>
        <v>#N/A</v>
      </c>
      <c r="I225" s="276" t="e">
        <f t="shared" si="60"/>
        <v>#N/A</v>
      </c>
      <c r="J225" s="275" t="e">
        <f t="shared" si="60"/>
        <v>#N/A</v>
      </c>
      <c r="K225" s="275" t="e">
        <f t="shared" si="60"/>
        <v>#N/A</v>
      </c>
      <c r="L225" s="275" t="e">
        <f t="shared" si="60"/>
        <v>#N/A</v>
      </c>
      <c r="M225" s="275" t="e">
        <f t="shared" si="60"/>
        <v>#N/A</v>
      </c>
      <c r="N225" s="275" t="e">
        <f t="shared" si="60"/>
        <v>#N/A</v>
      </c>
      <c r="O225" s="275" t="e">
        <f t="shared" si="60"/>
        <v>#N/A</v>
      </c>
      <c r="P225" s="275" t="e">
        <f t="shared" si="60"/>
        <v>#N/A</v>
      </c>
      <c r="Q225" s="275" t="e">
        <f t="shared" si="60"/>
        <v>#N/A</v>
      </c>
      <c r="R225" s="275" t="e">
        <f t="shared" si="60"/>
        <v>#N/A</v>
      </c>
    </row>
    <row r="226" spans="1:18" s="258" customFormat="1">
      <c r="A226" s="258" t="s">
        <v>74</v>
      </c>
      <c r="B226" s="275"/>
      <c r="C226" s="275" t="e">
        <f t="shared" si="60"/>
        <v>#N/A</v>
      </c>
      <c r="D226" s="275" t="e">
        <f t="shared" si="60"/>
        <v>#N/A</v>
      </c>
      <c r="E226" s="275" t="e">
        <f t="shared" si="60"/>
        <v>#N/A</v>
      </c>
      <c r="F226" s="275" t="e">
        <f t="shared" si="60"/>
        <v>#N/A</v>
      </c>
      <c r="G226" s="275" t="e">
        <f t="shared" si="60"/>
        <v>#N/A</v>
      </c>
      <c r="H226" s="275" t="e">
        <f t="shared" si="60"/>
        <v>#N/A</v>
      </c>
      <c r="I226" s="276" t="e">
        <f t="shared" si="60"/>
        <v>#N/A</v>
      </c>
      <c r="J226" s="275" t="e">
        <f t="shared" si="60"/>
        <v>#N/A</v>
      </c>
      <c r="K226" s="275" t="e">
        <f t="shared" si="60"/>
        <v>#N/A</v>
      </c>
      <c r="L226" s="275" t="e">
        <f t="shared" si="60"/>
        <v>#N/A</v>
      </c>
      <c r="M226" s="275" t="e">
        <f t="shared" si="60"/>
        <v>#N/A</v>
      </c>
      <c r="N226" s="275" t="e">
        <f t="shared" si="60"/>
        <v>#N/A</v>
      </c>
      <c r="O226" s="275" t="e">
        <f t="shared" si="60"/>
        <v>#N/A</v>
      </c>
      <c r="P226" s="275" t="e">
        <f t="shared" si="60"/>
        <v>#N/A</v>
      </c>
      <c r="Q226" s="275" t="e">
        <f t="shared" si="60"/>
        <v>#N/A</v>
      </c>
      <c r="R226" s="275" t="e">
        <f t="shared" si="60"/>
        <v>#N/A</v>
      </c>
    </row>
    <row r="227" spans="1:18" s="258" customFormat="1">
      <c r="I227" s="268"/>
    </row>
    <row r="228" spans="1:18" s="258" customFormat="1">
      <c r="I228" s="268"/>
    </row>
    <row r="229" spans="1:18" s="258" customFormat="1">
      <c r="A229" s="258" t="s">
        <v>72</v>
      </c>
      <c r="B229" s="273"/>
      <c r="C229" s="273" t="e">
        <f t="shared" ref="C229:R229" si="61">C217*C223*365</f>
        <v>#REF!</v>
      </c>
      <c r="D229" s="273" t="e">
        <f t="shared" si="61"/>
        <v>#REF!</v>
      </c>
      <c r="E229" s="273" t="e">
        <f t="shared" si="61"/>
        <v>#REF!</v>
      </c>
      <c r="F229" s="273" t="e">
        <f t="shared" si="61"/>
        <v>#REF!</v>
      </c>
      <c r="G229" s="273" t="e">
        <f t="shared" si="61"/>
        <v>#REF!</v>
      </c>
      <c r="H229" s="273" t="e">
        <f t="shared" si="61"/>
        <v>#REF!</v>
      </c>
      <c r="I229" s="274" t="e">
        <f t="shared" si="61"/>
        <v>#REF!</v>
      </c>
      <c r="J229" s="273" t="e">
        <f t="shared" si="61"/>
        <v>#REF!</v>
      </c>
      <c r="K229" s="273" t="e">
        <f t="shared" si="61"/>
        <v>#REF!</v>
      </c>
      <c r="L229" s="273" t="e">
        <f t="shared" si="61"/>
        <v>#REF!</v>
      </c>
      <c r="M229" s="273" t="e">
        <f t="shared" si="61"/>
        <v>#REF!</v>
      </c>
      <c r="N229" s="273" t="e">
        <f t="shared" si="61"/>
        <v>#REF!</v>
      </c>
      <c r="O229" s="273" t="e">
        <f t="shared" si="61"/>
        <v>#REF!</v>
      </c>
      <c r="P229" s="273" t="e">
        <f t="shared" si="61"/>
        <v>#REF!</v>
      </c>
      <c r="Q229" s="273" t="e">
        <f t="shared" si="61"/>
        <v>#REF!</v>
      </c>
      <c r="R229" s="273" t="e">
        <f t="shared" si="61"/>
        <v>#REF!</v>
      </c>
    </row>
    <row r="230" spans="1:18" s="258" customFormat="1">
      <c r="A230" s="258" t="s">
        <v>73</v>
      </c>
      <c r="B230" s="273"/>
      <c r="C230" s="273" t="e">
        <f t="shared" ref="C230:R230" si="62">C218*C224*365</f>
        <v>#REF!</v>
      </c>
      <c r="D230" s="273" t="e">
        <f t="shared" si="62"/>
        <v>#REF!</v>
      </c>
      <c r="E230" s="273" t="e">
        <f t="shared" si="62"/>
        <v>#REF!</v>
      </c>
      <c r="F230" s="273" t="e">
        <f t="shared" si="62"/>
        <v>#REF!</v>
      </c>
      <c r="G230" s="273" t="e">
        <f t="shared" si="62"/>
        <v>#REF!</v>
      </c>
      <c r="H230" s="273" t="e">
        <f t="shared" si="62"/>
        <v>#REF!</v>
      </c>
      <c r="I230" s="274" t="e">
        <f t="shared" si="62"/>
        <v>#REF!</v>
      </c>
      <c r="J230" s="273" t="e">
        <f t="shared" si="62"/>
        <v>#REF!</v>
      </c>
      <c r="K230" s="273" t="e">
        <f t="shared" si="62"/>
        <v>#REF!</v>
      </c>
      <c r="L230" s="273" t="e">
        <f t="shared" si="62"/>
        <v>#REF!</v>
      </c>
      <c r="M230" s="273" t="e">
        <f t="shared" si="62"/>
        <v>#REF!</v>
      </c>
      <c r="N230" s="273" t="e">
        <f t="shared" si="62"/>
        <v>#REF!</v>
      </c>
      <c r="O230" s="273" t="e">
        <f t="shared" si="62"/>
        <v>#REF!</v>
      </c>
      <c r="P230" s="273" t="e">
        <f t="shared" si="62"/>
        <v>#REF!</v>
      </c>
      <c r="Q230" s="273" t="e">
        <f t="shared" si="62"/>
        <v>#REF!</v>
      </c>
      <c r="R230" s="273" t="e">
        <f t="shared" si="62"/>
        <v>#REF!</v>
      </c>
    </row>
    <row r="231" spans="1:18" s="258" customFormat="1">
      <c r="A231" s="258" t="s">
        <v>75</v>
      </c>
      <c r="B231" s="273"/>
      <c r="C231" s="273" t="e">
        <f>C219*C225*365</f>
        <v>#REF!</v>
      </c>
      <c r="D231" s="273" t="e">
        <f t="shared" ref="D231:R231" si="63">D219*D225*365</f>
        <v>#REF!</v>
      </c>
      <c r="E231" s="273" t="e">
        <f t="shared" si="63"/>
        <v>#REF!</v>
      </c>
      <c r="F231" s="273" t="e">
        <f t="shared" si="63"/>
        <v>#REF!</v>
      </c>
      <c r="G231" s="273" t="e">
        <f t="shared" si="63"/>
        <v>#REF!</v>
      </c>
      <c r="H231" s="273" t="e">
        <f t="shared" si="63"/>
        <v>#REF!</v>
      </c>
      <c r="I231" s="274" t="e">
        <f t="shared" si="63"/>
        <v>#REF!</v>
      </c>
      <c r="J231" s="273" t="e">
        <f t="shared" si="63"/>
        <v>#REF!</v>
      </c>
      <c r="K231" s="273" t="e">
        <f t="shared" si="63"/>
        <v>#REF!</v>
      </c>
      <c r="L231" s="273" t="e">
        <f t="shared" si="63"/>
        <v>#REF!</v>
      </c>
      <c r="M231" s="273" t="e">
        <f t="shared" si="63"/>
        <v>#REF!</v>
      </c>
      <c r="N231" s="273" t="e">
        <f t="shared" si="63"/>
        <v>#REF!</v>
      </c>
      <c r="O231" s="273" t="e">
        <f t="shared" si="63"/>
        <v>#REF!</v>
      </c>
      <c r="P231" s="273" t="e">
        <f t="shared" si="63"/>
        <v>#REF!</v>
      </c>
      <c r="Q231" s="273" t="e">
        <f t="shared" si="63"/>
        <v>#REF!</v>
      </c>
      <c r="R231" s="273" t="e">
        <f t="shared" si="63"/>
        <v>#REF!</v>
      </c>
    </row>
    <row r="232" spans="1:18" s="258" customFormat="1">
      <c r="A232" s="258" t="s">
        <v>74</v>
      </c>
      <c r="B232" s="273"/>
      <c r="C232" s="273" t="e">
        <f t="shared" ref="C232:R232" si="64">C220*C226*365</f>
        <v>#REF!</v>
      </c>
      <c r="D232" s="273" t="e">
        <f t="shared" si="64"/>
        <v>#REF!</v>
      </c>
      <c r="E232" s="273" t="e">
        <f t="shared" si="64"/>
        <v>#REF!</v>
      </c>
      <c r="F232" s="273" t="e">
        <f t="shared" si="64"/>
        <v>#REF!</v>
      </c>
      <c r="G232" s="273" t="e">
        <f t="shared" si="64"/>
        <v>#REF!</v>
      </c>
      <c r="H232" s="273" t="e">
        <f t="shared" si="64"/>
        <v>#REF!</v>
      </c>
      <c r="I232" s="274" t="e">
        <f t="shared" si="64"/>
        <v>#REF!</v>
      </c>
      <c r="J232" s="273" t="e">
        <f t="shared" si="64"/>
        <v>#REF!</v>
      </c>
      <c r="K232" s="273" t="e">
        <f t="shared" si="64"/>
        <v>#REF!</v>
      </c>
      <c r="L232" s="273" t="e">
        <f t="shared" si="64"/>
        <v>#REF!</v>
      </c>
      <c r="M232" s="273" t="e">
        <f t="shared" si="64"/>
        <v>#REF!</v>
      </c>
      <c r="N232" s="273" t="e">
        <f t="shared" si="64"/>
        <v>#REF!</v>
      </c>
      <c r="O232" s="273" t="e">
        <f t="shared" si="64"/>
        <v>#REF!</v>
      </c>
      <c r="P232" s="273" t="e">
        <f t="shared" si="64"/>
        <v>#REF!</v>
      </c>
      <c r="Q232" s="273" t="e">
        <f t="shared" si="64"/>
        <v>#REF!</v>
      </c>
      <c r="R232" s="273" t="e">
        <f t="shared" si="64"/>
        <v>#REF!</v>
      </c>
    </row>
    <row r="233" spans="1:18" s="258" customFormat="1">
      <c r="A233" s="258" t="s">
        <v>219</v>
      </c>
      <c r="B233" s="271"/>
      <c r="C233" s="271" t="e">
        <f t="shared" ref="C233:R233" si="65">SUM(C229:C232)</f>
        <v>#REF!</v>
      </c>
      <c r="D233" s="271" t="e">
        <f t="shared" si="65"/>
        <v>#REF!</v>
      </c>
      <c r="E233" s="271" t="e">
        <f t="shared" si="65"/>
        <v>#REF!</v>
      </c>
      <c r="F233" s="271" t="e">
        <f t="shared" si="65"/>
        <v>#REF!</v>
      </c>
      <c r="G233" s="271" t="e">
        <f t="shared" si="65"/>
        <v>#REF!</v>
      </c>
      <c r="H233" s="271" t="e">
        <f t="shared" si="65"/>
        <v>#REF!</v>
      </c>
      <c r="I233" s="272" t="e">
        <f t="shared" si="65"/>
        <v>#REF!</v>
      </c>
      <c r="J233" s="271" t="e">
        <f t="shared" si="65"/>
        <v>#REF!</v>
      </c>
      <c r="K233" s="271" t="e">
        <f t="shared" si="65"/>
        <v>#REF!</v>
      </c>
      <c r="L233" s="271" t="e">
        <f t="shared" si="65"/>
        <v>#REF!</v>
      </c>
      <c r="M233" s="271" t="e">
        <f t="shared" si="65"/>
        <v>#REF!</v>
      </c>
      <c r="N233" s="271" t="e">
        <f t="shared" si="65"/>
        <v>#REF!</v>
      </c>
      <c r="O233" s="271" t="e">
        <f t="shared" si="65"/>
        <v>#REF!</v>
      </c>
      <c r="P233" s="271" t="e">
        <f t="shared" si="65"/>
        <v>#REF!</v>
      </c>
      <c r="Q233" s="271" t="e">
        <f t="shared" si="65"/>
        <v>#REF!</v>
      </c>
      <c r="R233" s="271" t="e">
        <f t="shared" si="65"/>
        <v>#REF!</v>
      </c>
    </row>
    <row r="234" spans="1:18" s="258" customFormat="1">
      <c r="I234" s="268"/>
    </row>
    <row r="235" spans="1:18" s="258" customFormat="1">
      <c r="A235" s="258" t="s">
        <v>268</v>
      </c>
      <c r="B235" s="269"/>
      <c r="C235" s="269" t="e">
        <f t="shared" ref="C235:R235" si="66">C233*10%</f>
        <v>#REF!</v>
      </c>
      <c r="D235" s="269" t="e">
        <f t="shared" si="66"/>
        <v>#REF!</v>
      </c>
      <c r="E235" s="269" t="e">
        <f t="shared" si="66"/>
        <v>#REF!</v>
      </c>
      <c r="F235" s="269" t="e">
        <f t="shared" si="66"/>
        <v>#REF!</v>
      </c>
      <c r="G235" s="269" t="e">
        <f t="shared" si="66"/>
        <v>#REF!</v>
      </c>
      <c r="H235" s="269" t="e">
        <f t="shared" si="66"/>
        <v>#REF!</v>
      </c>
      <c r="I235" s="270" t="e">
        <f t="shared" si="66"/>
        <v>#REF!</v>
      </c>
      <c r="J235" s="269" t="e">
        <f t="shared" si="66"/>
        <v>#REF!</v>
      </c>
      <c r="K235" s="269" t="e">
        <f t="shared" si="66"/>
        <v>#REF!</v>
      </c>
      <c r="L235" s="269" t="e">
        <f t="shared" si="66"/>
        <v>#REF!</v>
      </c>
      <c r="M235" s="269" t="e">
        <f t="shared" si="66"/>
        <v>#REF!</v>
      </c>
      <c r="N235" s="269" t="e">
        <f t="shared" si="66"/>
        <v>#REF!</v>
      </c>
      <c r="O235" s="269" t="e">
        <f t="shared" si="66"/>
        <v>#REF!</v>
      </c>
      <c r="P235" s="269" t="e">
        <f t="shared" si="66"/>
        <v>#REF!</v>
      </c>
      <c r="Q235" s="269" t="e">
        <f t="shared" si="66"/>
        <v>#REF!</v>
      </c>
      <c r="R235" s="269" t="e">
        <f t="shared" si="66"/>
        <v>#REF!</v>
      </c>
    </row>
    <row r="236" spans="1:18" s="258" customFormat="1">
      <c r="I236" s="268"/>
    </row>
    <row r="237" spans="1:18">
      <c r="B237" s="257"/>
    </row>
    <row r="239" spans="1:18">
      <c r="B239" s="257"/>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220"/>
  <sheetViews>
    <sheetView view="pageBreakPreview" zoomScale="75" zoomScaleNormal="75" zoomScaleSheetLayoutView="75" workbookViewId="0">
      <selection activeCell="G35" sqref="G35"/>
    </sheetView>
  </sheetViews>
  <sheetFormatPr defaultRowHeight="13.8"/>
  <cols>
    <col min="1" max="1" width="10.5546875" style="13" bestFit="1" customWidth="1"/>
    <col min="2" max="2" width="44.109375" style="13" customWidth="1"/>
    <col min="3" max="3" width="14.6640625" style="13" customWidth="1"/>
    <col min="4" max="4" width="23.6640625" style="13" bestFit="1" customWidth="1"/>
    <col min="5" max="5" width="11.88671875" style="13" customWidth="1"/>
    <col min="6" max="6" width="20.6640625" style="13" customWidth="1"/>
    <col min="7" max="7" width="15.6640625" style="13" customWidth="1"/>
    <col min="8" max="9" width="16.109375" style="13" bestFit="1" customWidth="1"/>
    <col min="10" max="10" width="13.6640625" style="13" customWidth="1"/>
    <col min="11" max="11" width="12.6640625" style="13" bestFit="1" customWidth="1"/>
    <col min="12" max="12" width="15.5546875" style="13" customWidth="1"/>
    <col min="13" max="13" width="16.109375" style="13" bestFit="1" customWidth="1"/>
    <col min="14" max="14" width="13.33203125" style="13" bestFit="1" customWidth="1"/>
    <col min="15" max="15" width="16.33203125" style="13" bestFit="1" customWidth="1"/>
    <col min="16" max="16" width="9.33203125" style="13" bestFit="1" customWidth="1"/>
    <col min="17" max="17" width="13" style="13" bestFit="1" customWidth="1"/>
    <col min="18" max="18" width="20.109375" style="13" bestFit="1" customWidth="1"/>
    <col min="19" max="19" width="50.33203125" style="13" bestFit="1" customWidth="1"/>
    <col min="20" max="20" width="16.109375" style="13" bestFit="1" customWidth="1"/>
    <col min="21" max="21" width="12.33203125" style="13" customWidth="1"/>
    <col min="22" max="22" width="18.88671875" style="13" bestFit="1" customWidth="1"/>
    <col min="23" max="23" width="16.6640625" style="13" customWidth="1"/>
    <col min="24" max="24" width="19" style="13" bestFit="1" customWidth="1"/>
    <col min="25" max="25" width="9.109375" style="13"/>
    <col min="26" max="26" width="18.88671875" style="13" bestFit="1" customWidth="1"/>
    <col min="27" max="256" width="9.109375" style="13"/>
    <col min="257" max="257" width="10.5546875" style="13" bestFit="1" customWidth="1"/>
    <col min="258" max="258" width="44.109375" style="13" customWidth="1"/>
    <col min="259" max="259" width="14.6640625" style="13" customWidth="1"/>
    <col min="260" max="260" width="23.6640625" style="13" bestFit="1" customWidth="1"/>
    <col min="261" max="261" width="11.88671875" style="13" customWidth="1"/>
    <col min="262" max="262" width="20.6640625" style="13" customWidth="1"/>
    <col min="263" max="263" width="15.6640625" style="13" customWidth="1"/>
    <col min="264" max="265" width="16.109375" style="13" bestFit="1" customWidth="1"/>
    <col min="266" max="266" width="13.6640625" style="13" customWidth="1"/>
    <col min="267" max="267" width="12.6640625" style="13" bestFit="1" customWidth="1"/>
    <col min="268" max="268" width="15.5546875" style="13" customWidth="1"/>
    <col min="269" max="269" width="16.109375" style="13" bestFit="1" customWidth="1"/>
    <col min="270" max="270" width="13.33203125" style="13" bestFit="1" customWidth="1"/>
    <col min="271" max="271" width="16.33203125" style="13" bestFit="1" customWidth="1"/>
    <col min="272" max="272" width="9.33203125" style="13" bestFit="1" customWidth="1"/>
    <col min="273" max="273" width="13" style="13" bestFit="1" customWidth="1"/>
    <col min="274" max="274" width="20.109375" style="13" bestFit="1" customWidth="1"/>
    <col min="275" max="275" width="50.33203125" style="13" bestFit="1" customWidth="1"/>
    <col min="276" max="276" width="16.109375" style="13" bestFit="1" customWidth="1"/>
    <col min="277" max="277" width="12.33203125" style="13" customWidth="1"/>
    <col min="278" max="278" width="18.88671875" style="13" bestFit="1" customWidth="1"/>
    <col min="279" max="279" width="16.6640625" style="13" customWidth="1"/>
    <col min="280" max="280" width="19" style="13" bestFit="1" customWidth="1"/>
    <col min="281" max="281" width="9.109375" style="13"/>
    <col min="282" max="282" width="18.88671875" style="13" bestFit="1" customWidth="1"/>
    <col min="283" max="512" width="9.109375" style="13"/>
    <col min="513" max="513" width="10.5546875" style="13" bestFit="1" customWidth="1"/>
    <col min="514" max="514" width="44.109375" style="13" customWidth="1"/>
    <col min="515" max="515" width="14.6640625" style="13" customWidth="1"/>
    <col min="516" max="516" width="23.6640625" style="13" bestFit="1" customWidth="1"/>
    <col min="517" max="517" width="11.88671875" style="13" customWidth="1"/>
    <col min="518" max="518" width="20.6640625" style="13" customWidth="1"/>
    <col min="519" max="519" width="15.6640625" style="13" customWidth="1"/>
    <col min="520" max="521" width="16.109375" style="13" bestFit="1" customWidth="1"/>
    <col min="522" max="522" width="13.6640625" style="13" customWidth="1"/>
    <col min="523" max="523" width="12.6640625" style="13" bestFit="1" customWidth="1"/>
    <col min="524" max="524" width="15.5546875" style="13" customWidth="1"/>
    <col min="525" max="525" width="16.109375" style="13" bestFit="1" customWidth="1"/>
    <col min="526" max="526" width="13.33203125" style="13" bestFit="1" customWidth="1"/>
    <col min="527" max="527" width="16.33203125" style="13" bestFit="1" customWidth="1"/>
    <col min="528" max="528" width="9.33203125" style="13" bestFit="1" customWidth="1"/>
    <col min="529" max="529" width="13" style="13" bestFit="1" customWidth="1"/>
    <col min="530" max="530" width="20.109375" style="13" bestFit="1" customWidth="1"/>
    <col min="531" max="531" width="50.33203125" style="13" bestFit="1" customWidth="1"/>
    <col min="532" max="532" width="16.109375" style="13" bestFit="1" customWidth="1"/>
    <col min="533" max="533" width="12.33203125" style="13" customWidth="1"/>
    <col min="534" max="534" width="18.88671875" style="13" bestFit="1" customWidth="1"/>
    <col min="535" max="535" width="16.6640625" style="13" customWidth="1"/>
    <col min="536" max="536" width="19" style="13" bestFit="1" customWidth="1"/>
    <col min="537" max="537" width="9.109375" style="13"/>
    <col min="538" max="538" width="18.88671875" style="13" bestFit="1" customWidth="1"/>
    <col min="539" max="768" width="9.109375" style="13"/>
    <col min="769" max="769" width="10.5546875" style="13" bestFit="1" customWidth="1"/>
    <col min="770" max="770" width="44.109375" style="13" customWidth="1"/>
    <col min="771" max="771" width="14.6640625" style="13" customWidth="1"/>
    <col min="772" max="772" width="23.6640625" style="13" bestFit="1" customWidth="1"/>
    <col min="773" max="773" width="11.88671875" style="13" customWidth="1"/>
    <col min="774" max="774" width="20.6640625" style="13" customWidth="1"/>
    <col min="775" max="775" width="15.6640625" style="13" customWidth="1"/>
    <col min="776" max="777" width="16.109375" style="13" bestFit="1" customWidth="1"/>
    <col min="778" max="778" width="13.6640625" style="13" customWidth="1"/>
    <col min="779" max="779" width="12.6640625" style="13" bestFit="1" customWidth="1"/>
    <col min="780" max="780" width="15.5546875" style="13" customWidth="1"/>
    <col min="781" max="781" width="16.109375" style="13" bestFit="1" customWidth="1"/>
    <col min="782" max="782" width="13.33203125" style="13" bestFit="1" customWidth="1"/>
    <col min="783" max="783" width="16.33203125" style="13" bestFit="1" customWidth="1"/>
    <col min="784" max="784" width="9.33203125" style="13" bestFit="1" customWidth="1"/>
    <col min="785" max="785" width="13" style="13" bestFit="1" customWidth="1"/>
    <col min="786" max="786" width="20.109375" style="13" bestFit="1" customWidth="1"/>
    <col min="787" max="787" width="50.33203125" style="13" bestFit="1" customWidth="1"/>
    <col min="788" max="788" width="16.109375" style="13" bestFit="1" customWidth="1"/>
    <col min="789" max="789" width="12.33203125" style="13" customWidth="1"/>
    <col min="790" max="790" width="18.88671875" style="13" bestFit="1" customWidth="1"/>
    <col min="791" max="791" width="16.6640625" style="13" customWidth="1"/>
    <col min="792" max="792" width="19" style="13" bestFit="1" customWidth="1"/>
    <col min="793" max="793" width="9.109375" style="13"/>
    <col min="794" max="794" width="18.88671875" style="13" bestFit="1" customWidth="1"/>
    <col min="795" max="1024" width="9.109375" style="13"/>
    <col min="1025" max="1025" width="10.5546875" style="13" bestFit="1" customWidth="1"/>
    <col min="1026" max="1026" width="44.109375" style="13" customWidth="1"/>
    <col min="1027" max="1027" width="14.6640625" style="13" customWidth="1"/>
    <col min="1028" max="1028" width="23.6640625" style="13" bestFit="1" customWidth="1"/>
    <col min="1029" max="1029" width="11.88671875" style="13" customWidth="1"/>
    <col min="1030" max="1030" width="20.6640625" style="13" customWidth="1"/>
    <col min="1031" max="1031" width="15.6640625" style="13" customWidth="1"/>
    <col min="1032" max="1033" width="16.109375" style="13" bestFit="1" customWidth="1"/>
    <col min="1034" max="1034" width="13.6640625" style="13" customWidth="1"/>
    <col min="1035" max="1035" width="12.6640625" style="13" bestFit="1" customWidth="1"/>
    <col min="1036" max="1036" width="15.5546875" style="13" customWidth="1"/>
    <col min="1037" max="1037" width="16.109375" style="13" bestFit="1" customWidth="1"/>
    <col min="1038" max="1038" width="13.33203125" style="13" bestFit="1" customWidth="1"/>
    <col min="1039" max="1039" width="16.33203125" style="13" bestFit="1" customWidth="1"/>
    <col min="1040" max="1040" width="9.33203125" style="13" bestFit="1" customWidth="1"/>
    <col min="1041" max="1041" width="13" style="13" bestFit="1" customWidth="1"/>
    <col min="1042" max="1042" width="20.109375" style="13" bestFit="1" customWidth="1"/>
    <col min="1043" max="1043" width="50.33203125" style="13" bestFit="1" customWidth="1"/>
    <col min="1044" max="1044" width="16.109375" style="13" bestFit="1" customWidth="1"/>
    <col min="1045" max="1045" width="12.33203125" style="13" customWidth="1"/>
    <col min="1046" max="1046" width="18.88671875" style="13" bestFit="1" customWidth="1"/>
    <col min="1047" max="1047" width="16.6640625" style="13" customWidth="1"/>
    <col min="1048" max="1048" width="19" style="13" bestFit="1" customWidth="1"/>
    <col min="1049" max="1049" width="9.109375" style="13"/>
    <col min="1050" max="1050" width="18.88671875" style="13" bestFit="1" customWidth="1"/>
    <col min="1051" max="1280" width="9.109375" style="13"/>
    <col min="1281" max="1281" width="10.5546875" style="13" bestFit="1" customWidth="1"/>
    <col min="1282" max="1282" width="44.109375" style="13" customWidth="1"/>
    <col min="1283" max="1283" width="14.6640625" style="13" customWidth="1"/>
    <col min="1284" max="1284" width="23.6640625" style="13" bestFit="1" customWidth="1"/>
    <col min="1285" max="1285" width="11.88671875" style="13" customWidth="1"/>
    <col min="1286" max="1286" width="20.6640625" style="13" customWidth="1"/>
    <col min="1287" max="1287" width="15.6640625" style="13" customWidth="1"/>
    <col min="1288" max="1289" width="16.109375" style="13" bestFit="1" customWidth="1"/>
    <col min="1290" max="1290" width="13.6640625" style="13" customWidth="1"/>
    <col min="1291" max="1291" width="12.6640625" style="13" bestFit="1" customWidth="1"/>
    <col min="1292" max="1292" width="15.5546875" style="13" customWidth="1"/>
    <col min="1293" max="1293" width="16.109375" style="13" bestFit="1" customWidth="1"/>
    <col min="1294" max="1294" width="13.33203125" style="13" bestFit="1" customWidth="1"/>
    <col min="1295" max="1295" width="16.33203125" style="13" bestFit="1" customWidth="1"/>
    <col min="1296" max="1296" width="9.33203125" style="13" bestFit="1" customWidth="1"/>
    <col min="1297" max="1297" width="13" style="13" bestFit="1" customWidth="1"/>
    <col min="1298" max="1298" width="20.109375" style="13" bestFit="1" customWidth="1"/>
    <col min="1299" max="1299" width="50.33203125" style="13" bestFit="1" customWidth="1"/>
    <col min="1300" max="1300" width="16.109375" style="13" bestFit="1" customWidth="1"/>
    <col min="1301" max="1301" width="12.33203125" style="13" customWidth="1"/>
    <col min="1302" max="1302" width="18.88671875" style="13" bestFit="1" customWidth="1"/>
    <col min="1303" max="1303" width="16.6640625" style="13" customWidth="1"/>
    <col min="1304" max="1304" width="19" style="13" bestFit="1" customWidth="1"/>
    <col min="1305" max="1305" width="9.109375" style="13"/>
    <col min="1306" max="1306" width="18.88671875" style="13" bestFit="1" customWidth="1"/>
    <col min="1307" max="1536" width="9.109375" style="13"/>
    <col min="1537" max="1537" width="10.5546875" style="13" bestFit="1" customWidth="1"/>
    <col min="1538" max="1538" width="44.109375" style="13" customWidth="1"/>
    <col min="1539" max="1539" width="14.6640625" style="13" customWidth="1"/>
    <col min="1540" max="1540" width="23.6640625" style="13" bestFit="1" customWidth="1"/>
    <col min="1541" max="1541" width="11.88671875" style="13" customWidth="1"/>
    <col min="1542" max="1542" width="20.6640625" style="13" customWidth="1"/>
    <col min="1543" max="1543" width="15.6640625" style="13" customWidth="1"/>
    <col min="1544" max="1545" width="16.109375" style="13" bestFit="1" customWidth="1"/>
    <col min="1546" max="1546" width="13.6640625" style="13" customWidth="1"/>
    <col min="1547" max="1547" width="12.6640625" style="13" bestFit="1" customWidth="1"/>
    <col min="1548" max="1548" width="15.5546875" style="13" customWidth="1"/>
    <col min="1549" max="1549" width="16.109375" style="13" bestFit="1" customWidth="1"/>
    <col min="1550" max="1550" width="13.33203125" style="13" bestFit="1" customWidth="1"/>
    <col min="1551" max="1551" width="16.33203125" style="13" bestFit="1" customWidth="1"/>
    <col min="1552" max="1552" width="9.33203125" style="13" bestFit="1" customWidth="1"/>
    <col min="1553" max="1553" width="13" style="13" bestFit="1" customWidth="1"/>
    <col min="1554" max="1554" width="20.109375" style="13" bestFit="1" customWidth="1"/>
    <col min="1555" max="1555" width="50.33203125" style="13" bestFit="1" customWidth="1"/>
    <col min="1556" max="1556" width="16.109375" style="13" bestFit="1" customWidth="1"/>
    <col min="1557" max="1557" width="12.33203125" style="13" customWidth="1"/>
    <col min="1558" max="1558" width="18.88671875" style="13" bestFit="1" customWidth="1"/>
    <col min="1559" max="1559" width="16.6640625" style="13" customWidth="1"/>
    <col min="1560" max="1560" width="19" style="13" bestFit="1" customWidth="1"/>
    <col min="1561" max="1561" width="9.109375" style="13"/>
    <col min="1562" max="1562" width="18.88671875" style="13" bestFit="1" customWidth="1"/>
    <col min="1563" max="1792" width="9.109375" style="13"/>
    <col min="1793" max="1793" width="10.5546875" style="13" bestFit="1" customWidth="1"/>
    <col min="1794" max="1794" width="44.109375" style="13" customWidth="1"/>
    <col min="1795" max="1795" width="14.6640625" style="13" customWidth="1"/>
    <col min="1796" max="1796" width="23.6640625" style="13" bestFit="1" customWidth="1"/>
    <col min="1797" max="1797" width="11.88671875" style="13" customWidth="1"/>
    <col min="1798" max="1798" width="20.6640625" style="13" customWidth="1"/>
    <col min="1799" max="1799" width="15.6640625" style="13" customWidth="1"/>
    <col min="1800" max="1801" width="16.109375" style="13" bestFit="1" customWidth="1"/>
    <col min="1802" max="1802" width="13.6640625" style="13" customWidth="1"/>
    <col min="1803" max="1803" width="12.6640625" style="13" bestFit="1" customWidth="1"/>
    <col min="1804" max="1804" width="15.5546875" style="13" customWidth="1"/>
    <col min="1805" max="1805" width="16.109375" style="13" bestFit="1" customWidth="1"/>
    <col min="1806" max="1806" width="13.33203125" style="13" bestFit="1" customWidth="1"/>
    <col min="1807" max="1807" width="16.33203125" style="13" bestFit="1" customWidth="1"/>
    <col min="1808" max="1808" width="9.33203125" style="13" bestFit="1" customWidth="1"/>
    <col min="1809" max="1809" width="13" style="13" bestFit="1" customWidth="1"/>
    <col min="1810" max="1810" width="20.109375" style="13" bestFit="1" customWidth="1"/>
    <col min="1811" max="1811" width="50.33203125" style="13" bestFit="1" customWidth="1"/>
    <col min="1812" max="1812" width="16.109375" style="13" bestFit="1" customWidth="1"/>
    <col min="1813" max="1813" width="12.33203125" style="13" customWidth="1"/>
    <col min="1814" max="1814" width="18.88671875" style="13" bestFit="1" customWidth="1"/>
    <col min="1815" max="1815" width="16.6640625" style="13" customWidth="1"/>
    <col min="1816" max="1816" width="19" style="13" bestFit="1" customWidth="1"/>
    <col min="1817" max="1817" width="9.109375" style="13"/>
    <col min="1818" max="1818" width="18.88671875" style="13" bestFit="1" customWidth="1"/>
    <col min="1819" max="2048" width="9.109375" style="13"/>
    <col min="2049" max="2049" width="10.5546875" style="13" bestFit="1" customWidth="1"/>
    <col min="2050" max="2050" width="44.109375" style="13" customWidth="1"/>
    <col min="2051" max="2051" width="14.6640625" style="13" customWidth="1"/>
    <col min="2052" max="2052" width="23.6640625" style="13" bestFit="1" customWidth="1"/>
    <col min="2053" max="2053" width="11.88671875" style="13" customWidth="1"/>
    <col min="2054" max="2054" width="20.6640625" style="13" customWidth="1"/>
    <col min="2055" max="2055" width="15.6640625" style="13" customWidth="1"/>
    <col min="2056" max="2057" width="16.109375" style="13" bestFit="1" customWidth="1"/>
    <col min="2058" max="2058" width="13.6640625" style="13" customWidth="1"/>
    <col min="2059" max="2059" width="12.6640625" style="13" bestFit="1" customWidth="1"/>
    <col min="2060" max="2060" width="15.5546875" style="13" customWidth="1"/>
    <col min="2061" max="2061" width="16.109375" style="13" bestFit="1" customWidth="1"/>
    <col min="2062" max="2062" width="13.33203125" style="13" bestFit="1" customWidth="1"/>
    <col min="2063" max="2063" width="16.33203125" style="13" bestFit="1" customWidth="1"/>
    <col min="2064" max="2064" width="9.33203125" style="13" bestFit="1" customWidth="1"/>
    <col min="2065" max="2065" width="13" style="13" bestFit="1" customWidth="1"/>
    <col min="2066" max="2066" width="20.109375" style="13" bestFit="1" customWidth="1"/>
    <col min="2067" max="2067" width="50.33203125" style="13" bestFit="1" customWidth="1"/>
    <col min="2068" max="2068" width="16.109375" style="13" bestFit="1" customWidth="1"/>
    <col min="2069" max="2069" width="12.33203125" style="13" customWidth="1"/>
    <col min="2070" max="2070" width="18.88671875" style="13" bestFit="1" customWidth="1"/>
    <col min="2071" max="2071" width="16.6640625" style="13" customWidth="1"/>
    <col min="2072" max="2072" width="19" style="13" bestFit="1" customWidth="1"/>
    <col min="2073" max="2073" width="9.109375" style="13"/>
    <col min="2074" max="2074" width="18.88671875" style="13" bestFit="1" customWidth="1"/>
    <col min="2075" max="2304" width="9.109375" style="13"/>
    <col min="2305" max="2305" width="10.5546875" style="13" bestFit="1" customWidth="1"/>
    <col min="2306" max="2306" width="44.109375" style="13" customWidth="1"/>
    <col min="2307" max="2307" width="14.6640625" style="13" customWidth="1"/>
    <col min="2308" max="2308" width="23.6640625" style="13" bestFit="1" customWidth="1"/>
    <col min="2309" max="2309" width="11.88671875" style="13" customWidth="1"/>
    <col min="2310" max="2310" width="20.6640625" style="13" customWidth="1"/>
    <col min="2311" max="2311" width="15.6640625" style="13" customWidth="1"/>
    <col min="2312" max="2313" width="16.109375" style="13" bestFit="1" customWidth="1"/>
    <col min="2314" max="2314" width="13.6640625" style="13" customWidth="1"/>
    <col min="2315" max="2315" width="12.6640625" style="13" bestFit="1" customWidth="1"/>
    <col min="2316" max="2316" width="15.5546875" style="13" customWidth="1"/>
    <col min="2317" max="2317" width="16.109375" style="13" bestFit="1" customWidth="1"/>
    <col min="2318" max="2318" width="13.33203125" style="13" bestFit="1" customWidth="1"/>
    <col min="2319" max="2319" width="16.33203125" style="13" bestFit="1" customWidth="1"/>
    <col min="2320" max="2320" width="9.33203125" style="13" bestFit="1" customWidth="1"/>
    <col min="2321" max="2321" width="13" style="13" bestFit="1" customWidth="1"/>
    <col min="2322" max="2322" width="20.109375" style="13" bestFit="1" customWidth="1"/>
    <col min="2323" max="2323" width="50.33203125" style="13" bestFit="1" customWidth="1"/>
    <col min="2324" max="2324" width="16.109375" style="13" bestFit="1" customWidth="1"/>
    <col min="2325" max="2325" width="12.33203125" style="13" customWidth="1"/>
    <col min="2326" max="2326" width="18.88671875" style="13" bestFit="1" customWidth="1"/>
    <col min="2327" max="2327" width="16.6640625" style="13" customWidth="1"/>
    <col min="2328" max="2328" width="19" style="13" bestFit="1" customWidth="1"/>
    <col min="2329" max="2329" width="9.109375" style="13"/>
    <col min="2330" max="2330" width="18.88671875" style="13" bestFit="1" customWidth="1"/>
    <col min="2331" max="2560" width="9.109375" style="13"/>
    <col min="2561" max="2561" width="10.5546875" style="13" bestFit="1" customWidth="1"/>
    <col min="2562" max="2562" width="44.109375" style="13" customWidth="1"/>
    <col min="2563" max="2563" width="14.6640625" style="13" customWidth="1"/>
    <col min="2564" max="2564" width="23.6640625" style="13" bestFit="1" customWidth="1"/>
    <col min="2565" max="2565" width="11.88671875" style="13" customWidth="1"/>
    <col min="2566" max="2566" width="20.6640625" style="13" customWidth="1"/>
    <col min="2567" max="2567" width="15.6640625" style="13" customWidth="1"/>
    <col min="2568" max="2569" width="16.109375" style="13" bestFit="1" customWidth="1"/>
    <col min="2570" max="2570" width="13.6640625" style="13" customWidth="1"/>
    <col min="2571" max="2571" width="12.6640625" style="13" bestFit="1" customWidth="1"/>
    <col min="2572" max="2572" width="15.5546875" style="13" customWidth="1"/>
    <col min="2573" max="2573" width="16.109375" style="13" bestFit="1" customWidth="1"/>
    <col min="2574" max="2574" width="13.33203125" style="13" bestFit="1" customWidth="1"/>
    <col min="2575" max="2575" width="16.33203125" style="13" bestFit="1" customWidth="1"/>
    <col min="2576" max="2576" width="9.33203125" style="13" bestFit="1" customWidth="1"/>
    <col min="2577" max="2577" width="13" style="13" bestFit="1" customWidth="1"/>
    <col min="2578" max="2578" width="20.109375" style="13" bestFit="1" customWidth="1"/>
    <col min="2579" max="2579" width="50.33203125" style="13" bestFit="1" customWidth="1"/>
    <col min="2580" max="2580" width="16.109375" style="13" bestFit="1" customWidth="1"/>
    <col min="2581" max="2581" width="12.33203125" style="13" customWidth="1"/>
    <col min="2582" max="2582" width="18.88671875" style="13" bestFit="1" customWidth="1"/>
    <col min="2583" max="2583" width="16.6640625" style="13" customWidth="1"/>
    <col min="2584" max="2584" width="19" style="13" bestFit="1" customWidth="1"/>
    <col min="2585" max="2585" width="9.109375" style="13"/>
    <col min="2586" max="2586" width="18.88671875" style="13" bestFit="1" customWidth="1"/>
    <col min="2587" max="2816" width="9.109375" style="13"/>
    <col min="2817" max="2817" width="10.5546875" style="13" bestFit="1" customWidth="1"/>
    <col min="2818" max="2818" width="44.109375" style="13" customWidth="1"/>
    <col min="2819" max="2819" width="14.6640625" style="13" customWidth="1"/>
    <col min="2820" max="2820" width="23.6640625" style="13" bestFit="1" customWidth="1"/>
    <col min="2821" max="2821" width="11.88671875" style="13" customWidth="1"/>
    <col min="2822" max="2822" width="20.6640625" style="13" customWidth="1"/>
    <col min="2823" max="2823" width="15.6640625" style="13" customWidth="1"/>
    <col min="2824" max="2825" width="16.109375" style="13" bestFit="1" customWidth="1"/>
    <col min="2826" max="2826" width="13.6640625" style="13" customWidth="1"/>
    <col min="2827" max="2827" width="12.6640625" style="13" bestFit="1" customWidth="1"/>
    <col min="2828" max="2828" width="15.5546875" style="13" customWidth="1"/>
    <col min="2829" max="2829" width="16.109375" style="13" bestFit="1" customWidth="1"/>
    <col min="2830" max="2830" width="13.33203125" style="13" bestFit="1" customWidth="1"/>
    <col min="2831" max="2831" width="16.33203125" style="13" bestFit="1" customWidth="1"/>
    <col min="2832" max="2832" width="9.33203125" style="13" bestFit="1" customWidth="1"/>
    <col min="2833" max="2833" width="13" style="13" bestFit="1" customWidth="1"/>
    <col min="2834" max="2834" width="20.109375" style="13" bestFit="1" customWidth="1"/>
    <col min="2835" max="2835" width="50.33203125" style="13" bestFit="1" customWidth="1"/>
    <col min="2836" max="2836" width="16.109375" style="13" bestFit="1" customWidth="1"/>
    <col min="2837" max="2837" width="12.33203125" style="13" customWidth="1"/>
    <col min="2838" max="2838" width="18.88671875" style="13" bestFit="1" customWidth="1"/>
    <col min="2839" max="2839" width="16.6640625" style="13" customWidth="1"/>
    <col min="2840" max="2840" width="19" style="13" bestFit="1" customWidth="1"/>
    <col min="2841" max="2841" width="9.109375" style="13"/>
    <col min="2842" max="2842" width="18.88671875" style="13" bestFit="1" customWidth="1"/>
    <col min="2843" max="3072" width="9.109375" style="13"/>
    <col min="3073" max="3073" width="10.5546875" style="13" bestFit="1" customWidth="1"/>
    <col min="3074" max="3074" width="44.109375" style="13" customWidth="1"/>
    <col min="3075" max="3075" width="14.6640625" style="13" customWidth="1"/>
    <col min="3076" max="3076" width="23.6640625" style="13" bestFit="1" customWidth="1"/>
    <col min="3077" max="3077" width="11.88671875" style="13" customWidth="1"/>
    <col min="3078" max="3078" width="20.6640625" style="13" customWidth="1"/>
    <col min="3079" max="3079" width="15.6640625" style="13" customWidth="1"/>
    <col min="3080" max="3081" width="16.109375" style="13" bestFit="1" customWidth="1"/>
    <col min="3082" max="3082" width="13.6640625" style="13" customWidth="1"/>
    <col min="3083" max="3083" width="12.6640625" style="13" bestFit="1" customWidth="1"/>
    <col min="3084" max="3084" width="15.5546875" style="13" customWidth="1"/>
    <col min="3085" max="3085" width="16.109375" style="13" bestFit="1" customWidth="1"/>
    <col min="3086" max="3086" width="13.33203125" style="13" bestFit="1" customWidth="1"/>
    <col min="3087" max="3087" width="16.33203125" style="13" bestFit="1" customWidth="1"/>
    <col min="3088" max="3088" width="9.33203125" style="13" bestFit="1" customWidth="1"/>
    <col min="3089" max="3089" width="13" style="13" bestFit="1" customWidth="1"/>
    <col min="3090" max="3090" width="20.109375" style="13" bestFit="1" customWidth="1"/>
    <col min="3091" max="3091" width="50.33203125" style="13" bestFit="1" customWidth="1"/>
    <col min="3092" max="3092" width="16.109375" style="13" bestFit="1" customWidth="1"/>
    <col min="3093" max="3093" width="12.33203125" style="13" customWidth="1"/>
    <col min="3094" max="3094" width="18.88671875" style="13" bestFit="1" customWidth="1"/>
    <col min="3095" max="3095" width="16.6640625" style="13" customWidth="1"/>
    <col min="3096" max="3096" width="19" style="13" bestFit="1" customWidth="1"/>
    <col min="3097" max="3097" width="9.109375" style="13"/>
    <col min="3098" max="3098" width="18.88671875" style="13" bestFit="1" customWidth="1"/>
    <col min="3099" max="3328" width="9.109375" style="13"/>
    <col min="3329" max="3329" width="10.5546875" style="13" bestFit="1" customWidth="1"/>
    <col min="3330" max="3330" width="44.109375" style="13" customWidth="1"/>
    <col min="3331" max="3331" width="14.6640625" style="13" customWidth="1"/>
    <col min="3332" max="3332" width="23.6640625" style="13" bestFit="1" customWidth="1"/>
    <col min="3333" max="3333" width="11.88671875" style="13" customWidth="1"/>
    <col min="3334" max="3334" width="20.6640625" style="13" customWidth="1"/>
    <col min="3335" max="3335" width="15.6640625" style="13" customWidth="1"/>
    <col min="3336" max="3337" width="16.109375" style="13" bestFit="1" customWidth="1"/>
    <col min="3338" max="3338" width="13.6640625" style="13" customWidth="1"/>
    <col min="3339" max="3339" width="12.6640625" style="13" bestFit="1" customWidth="1"/>
    <col min="3340" max="3340" width="15.5546875" style="13" customWidth="1"/>
    <col min="3341" max="3341" width="16.109375" style="13" bestFit="1" customWidth="1"/>
    <col min="3342" max="3342" width="13.33203125" style="13" bestFit="1" customWidth="1"/>
    <col min="3343" max="3343" width="16.33203125" style="13" bestFit="1" customWidth="1"/>
    <col min="3344" max="3344" width="9.33203125" style="13" bestFit="1" customWidth="1"/>
    <col min="3345" max="3345" width="13" style="13" bestFit="1" customWidth="1"/>
    <col min="3346" max="3346" width="20.109375" style="13" bestFit="1" customWidth="1"/>
    <col min="3347" max="3347" width="50.33203125" style="13" bestFit="1" customWidth="1"/>
    <col min="3348" max="3348" width="16.109375" style="13" bestFit="1" customWidth="1"/>
    <col min="3349" max="3349" width="12.33203125" style="13" customWidth="1"/>
    <col min="3350" max="3350" width="18.88671875" style="13" bestFit="1" customWidth="1"/>
    <col min="3351" max="3351" width="16.6640625" style="13" customWidth="1"/>
    <col min="3352" max="3352" width="19" style="13" bestFit="1" customWidth="1"/>
    <col min="3353" max="3353" width="9.109375" style="13"/>
    <col min="3354" max="3354" width="18.88671875" style="13" bestFit="1" customWidth="1"/>
    <col min="3355" max="3584" width="9.109375" style="13"/>
    <col min="3585" max="3585" width="10.5546875" style="13" bestFit="1" customWidth="1"/>
    <col min="3586" max="3586" width="44.109375" style="13" customWidth="1"/>
    <col min="3587" max="3587" width="14.6640625" style="13" customWidth="1"/>
    <col min="3588" max="3588" width="23.6640625" style="13" bestFit="1" customWidth="1"/>
    <col min="3589" max="3589" width="11.88671875" style="13" customWidth="1"/>
    <col min="3590" max="3590" width="20.6640625" style="13" customWidth="1"/>
    <col min="3591" max="3591" width="15.6640625" style="13" customWidth="1"/>
    <col min="3592" max="3593" width="16.109375" style="13" bestFit="1" customWidth="1"/>
    <col min="3594" max="3594" width="13.6640625" style="13" customWidth="1"/>
    <col min="3595" max="3595" width="12.6640625" style="13" bestFit="1" customWidth="1"/>
    <col min="3596" max="3596" width="15.5546875" style="13" customWidth="1"/>
    <col min="3597" max="3597" width="16.109375" style="13" bestFit="1" customWidth="1"/>
    <col min="3598" max="3598" width="13.33203125" style="13" bestFit="1" customWidth="1"/>
    <col min="3599" max="3599" width="16.33203125" style="13" bestFit="1" customWidth="1"/>
    <col min="3600" max="3600" width="9.33203125" style="13" bestFit="1" customWidth="1"/>
    <col min="3601" max="3601" width="13" style="13" bestFit="1" customWidth="1"/>
    <col min="3602" max="3602" width="20.109375" style="13" bestFit="1" customWidth="1"/>
    <col min="3603" max="3603" width="50.33203125" style="13" bestFit="1" customWidth="1"/>
    <col min="3604" max="3604" width="16.109375" style="13" bestFit="1" customWidth="1"/>
    <col min="3605" max="3605" width="12.33203125" style="13" customWidth="1"/>
    <col min="3606" max="3606" width="18.88671875" style="13" bestFit="1" customWidth="1"/>
    <col min="3607" max="3607" width="16.6640625" style="13" customWidth="1"/>
    <col min="3608" max="3608" width="19" style="13" bestFit="1" customWidth="1"/>
    <col min="3609" max="3609" width="9.109375" style="13"/>
    <col min="3610" max="3610" width="18.88671875" style="13" bestFit="1" customWidth="1"/>
    <col min="3611" max="3840" width="9.109375" style="13"/>
    <col min="3841" max="3841" width="10.5546875" style="13" bestFit="1" customWidth="1"/>
    <col min="3842" max="3842" width="44.109375" style="13" customWidth="1"/>
    <col min="3843" max="3843" width="14.6640625" style="13" customWidth="1"/>
    <col min="3844" max="3844" width="23.6640625" style="13" bestFit="1" customWidth="1"/>
    <col min="3845" max="3845" width="11.88671875" style="13" customWidth="1"/>
    <col min="3846" max="3846" width="20.6640625" style="13" customWidth="1"/>
    <col min="3847" max="3847" width="15.6640625" style="13" customWidth="1"/>
    <col min="3848" max="3849" width="16.109375" style="13" bestFit="1" customWidth="1"/>
    <col min="3850" max="3850" width="13.6640625" style="13" customWidth="1"/>
    <col min="3851" max="3851" width="12.6640625" style="13" bestFit="1" customWidth="1"/>
    <col min="3852" max="3852" width="15.5546875" style="13" customWidth="1"/>
    <col min="3853" max="3853" width="16.109375" style="13" bestFit="1" customWidth="1"/>
    <col min="3854" max="3854" width="13.33203125" style="13" bestFit="1" customWidth="1"/>
    <col min="3855" max="3855" width="16.33203125" style="13" bestFit="1" customWidth="1"/>
    <col min="3856" max="3856" width="9.33203125" style="13" bestFit="1" customWidth="1"/>
    <col min="3857" max="3857" width="13" style="13" bestFit="1" customWidth="1"/>
    <col min="3858" max="3858" width="20.109375" style="13" bestFit="1" customWidth="1"/>
    <col min="3859" max="3859" width="50.33203125" style="13" bestFit="1" customWidth="1"/>
    <col min="3860" max="3860" width="16.109375" style="13" bestFit="1" customWidth="1"/>
    <col min="3861" max="3861" width="12.33203125" style="13" customWidth="1"/>
    <col min="3862" max="3862" width="18.88671875" style="13" bestFit="1" customWidth="1"/>
    <col min="3863" max="3863" width="16.6640625" style="13" customWidth="1"/>
    <col min="3864" max="3864" width="19" style="13" bestFit="1" customWidth="1"/>
    <col min="3865" max="3865" width="9.109375" style="13"/>
    <col min="3866" max="3866" width="18.88671875" style="13" bestFit="1" customWidth="1"/>
    <col min="3867" max="4096" width="9.109375" style="13"/>
    <col min="4097" max="4097" width="10.5546875" style="13" bestFit="1" customWidth="1"/>
    <col min="4098" max="4098" width="44.109375" style="13" customWidth="1"/>
    <col min="4099" max="4099" width="14.6640625" style="13" customWidth="1"/>
    <col min="4100" max="4100" width="23.6640625" style="13" bestFit="1" customWidth="1"/>
    <col min="4101" max="4101" width="11.88671875" style="13" customWidth="1"/>
    <col min="4102" max="4102" width="20.6640625" style="13" customWidth="1"/>
    <col min="4103" max="4103" width="15.6640625" style="13" customWidth="1"/>
    <col min="4104" max="4105" width="16.109375" style="13" bestFit="1" customWidth="1"/>
    <col min="4106" max="4106" width="13.6640625" style="13" customWidth="1"/>
    <col min="4107" max="4107" width="12.6640625" style="13" bestFit="1" customWidth="1"/>
    <col min="4108" max="4108" width="15.5546875" style="13" customWidth="1"/>
    <col min="4109" max="4109" width="16.109375" style="13" bestFit="1" customWidth="1"/>
    <col min="4110" max="4110" width="13.33203125" style="13" bestFit="1" customWidth="1"/>
    <col min="4111" max="4111" width="16.33203125" style="13" bestFit="1" customWidth="1"/>
    <col min="4112" max="4112" width="9.33203125" style="13" bestFit="1" customWidth="1"/>
    <col min="4113" max="4113" width="13" style="13" bestFit="1" customWidth="1"/>
    <col min="4114" max="4114" width="20.109375" style="13" bestFit="1" customWidth="1"/>
    <col min="4115" max="4115" width="50.33203125" style="13" bestFit="1" customWidth="1"/>
    <col min="4116" max="4116" width="16.109375" style="13" bestFit="1" customWidth="1"/>
    <col min="4117" max="4117" width="12.33203125" style="13" customWidth="1"/>
    <col min="4118" max="4118" width="18.88671875" style="13" bestFit="1" customWidth="1"/>
    <col min="4119" max="4119" width="16.6640625" style="13" customWidth="1"/>
    <col min="4120" max="4120" width="19" style="13" bestFit="1" customWidth="1"/>
    <col min="4121" max="4121" width="9.109375" style="13"/>
    <col min="4122" max="4122" width="18.88671875" style="13" bestFit="1" customWidth="1"/>
    <col min="4123" max="4352" width="9.109375" style="13"/>
    <col min="4353" max="4353" width="10.5546875" style="13" bestFit="1" customWidth="1"/>
    <col min="4354" max="4354" width="44.109375" style="13" customWidth="1"/>
    <col min="4355" max="4355" width="14.6640625" style="13" customWidth="1"/>
    <col min="4356" max="4356" width="23.6640625" style="13" bestFit="1" customWidth="1"/>
    <col min="4357" max="4357" width="11.88671875" style="13" customWidth="1"/>
    <col min="4358" max="4358" width="20.6640625" style="13" customWidth="1"/>
    <col min="4359" max="4359" width="15.6640625" style="13" customWidth="1"/>
    <col min="4360" max="4361" width="16.109375" style="13" bestFit="1" customWidth="1"/>
    <col min="4362" max="4362" width="13.6640625" style="13" customWidth="1"/>
    <col min="4363" max="4363" width="12.6640625" style="13" bestFit="1" customWidth="1"/>
    <col min="4364" max="4364" width="15.5546875" style="13" customWidth="1"/>
    <col min="4365" max="4365" width="16.109375" style="13" bestFit="1" customWidth="1"/>
    <col min="4366" max="4366" width="13.33203125" style="13" bestFit="1" customWidth="1"/>
    <col min="4367" max="4367" width="16.33203125" style="13" bestFit="1" customWidth="1"/>
    <col min="4368" max="4368" width="9.33203125" style="13" bestFit="1" customWidth="1"/>
    <col min="4369" max="4369" width="13" style="13" bestFit="1" customWidth="1"/>
    <col min="4370" max="4370" width="20.109375" style="13" bestFit="1" customWidth="1"/>
    <col min="4371" max="4371" width="50.33203125" style="13" bestFit="1" customWidth="1"/>
    <col min="4372" max="4372" width="16.109375" style="13" bestFit="1" customWidth="1"/>
    <col min="4373" max="4373" width="12.33203125" style="13" customWidth="1"/>
    <col min="4374" max="4374" width="18.88671875" style="13" bestFit="1" customWidth="1"/>
    <col min="4375" max="4375" width="16.6640625" style="13" customWidth="1"/>
    <col min="4376" max="4376" width="19" style="13" bestFit="1" customWidth="1"/>
    <col min="4377" max="4377" width="9.109375" style="13"/>
    <col min="4378" max="4378" width="18.88671875" style="13" bestFit="1" customWidth="1"/>
    <col min="4379" max="4608" width="9.109375" style="13"/>
    <col min="4609" max="4609" width="10.5546875" style="13" bestFit="1" customWidth="1"/>
    <col min="4610" max="4610" width="44.109375" style="13" customWidth="1"/>
    <col min="4611" max="4611" width="14.6640625" style="13" customWidth="1"/>
    <col min="4612" max="4612" width="23.6640625" style="13" bestFit="1" customWidth="1"/>
    <col min="4613" max="4613" width="11.88671875" style="13" customWidth="1"/>
    <col min="4614" max="4614" width="20.6640625" style="13" customWidth="1"/>
    <col min="4615" max="4615" width="15.6640625" style="13" customWidth="1"/>
    <col min="4616" max="4617" width="16.109375" style="13" bestFit="1" customWidth="1"/>
    <col min="4618" max="4618" width="13.6640625" style="13" customWidth="1"/>
    <col min="4619" max="4619" width="12.6640625" style="13" bestFit="1" customWidth="1"/>
    <col min="4620" max="4620" width="15.5546875" style="13" customWidth="1"/>
    <col min="4621" max="4621" width="16.109375" style="13" bestFit="1" customWidth="1"/>
    <col min="4622" max="4622" width="13.33203125" style="13" bestFit="1" customWidth="1"/>
    <col min="4623" max="4623" width="16.33203125" style="13" bestFit="1" customWidth="1"/>
    <col min="4624" max="4624" width="9.33203125" style="13" bestFit="1" customWidth="1"/>
    <col min="4625" max="4625" width="13" style="13" bestFit="1" customWidth="1"/>
    <col min="4626" max="4626" width="20.109375" style="13" bestFit="1" customWidth="1"/>
    <col min="4627" max="4627" width="50.33203125" style="13" bestFit="1" customWidth="1"/>
    <col min="4628" max="4628" width="16.109375" style="13" bestFit="1" customWidth="1"/>
    <col min="4629" max="4629" width="12.33203125" style="13" customWidth="1"/>
    <col min="4630" max="4630" width="18.88671875" style="13" bestFit="1" customWidth="1"/>
    <col min="4631" max="4631" width="16.6640625" style="13" customWidth="1"/>
    <col min="4632" max="4632" width="19" style="13" bestFit="1" customWidth="1"/>
    <col min="4633" max="4633" width="9.109375" style="13"/>
    <col min="4634" max="4634" width="18.88671875" style="13" bestFit="1" customWidth="1"/>
    <col min="4635" max="4864" width="9.109375" style="13"/>
    <col min="4865" max="4865" width="10.5546875" style="13" bestFit="1" customWidth="1"/>
    <col min="4866" max="4866" width="44.109375" style="13" customWidth="1"/>
    <col min="4867" max="4867" width="14.6640625" style="13" customWidth="1"/>
    <col min="4868" max="4868" width="23.6640625" style="13" bestFit="1" customWidth="1"/>
    <col min="4869" max="4869" width="11.88671875" style="13" customWidth="1"/>
    <col min="4870" max="4870" width="20.6640625" style="13" customWidth="1"/>
    <col min="4871" max="4871" width="15.6640625" style="13" customWidth="1"/>
    <col min="4872" max="4873" width="16.109375" style="13" bestFit="1" customWidth="1"/>
    <col min="4874" max="4874" width="13.6640625" style="13" customWidth="1"/>
    <col min="4875" max="4875" width="12.6640625" style="13" bestFit="1" customWidth="1"/>
    <col min="4876" max="4876" width="15.5546875" style="13" customWidth="1"/>
    <col min="4877" max="4877" width="16.109375" style="13" bestFit="1" customWidth="1"/>
    <col min="4878" max="4878" width="13.33203125" style="13" bestFit="1" customWidth="1"/>
    <col min="4879" max="4879" width="16.33203125" style="13" bestFit="1" customWidth="1"/>
    <col min="4880" max="4880" width="9.33203125" style="13" bestFit="1" customWidth="1"/>
    <col min="4881" max="4881" width="13" style="13" bestFit="1" customWidth="1"/>
    <col min="4882" max="4882" width="20.109375" style="13" bestFit="1" customWidth="1"/>
    <col min="4883" max="4883" width="50.33203125" style="13" bestFit="1" customWidth="1"/>
    <col min="4884" max="4884" width="16.109375" style="13" bestFit="1" customWidth="1"/>
    <col min="4885" max="4885" width="12.33203125" style="13" customWidth="1"/>
    <col min="4886" max="4886" width="18.88671875" style="13" bestFit="1" customWidth="1"/>
    <col min="4887" max="4887" width="16.6640625" style="13" customWidth="1"/>
    <col min="4888" max="4888" width="19" style="13" bestFit="1" customWidth="1"/>
    <col min="4889" max="4889" width="9.109375" style="13"/>
    <col min="4890" max="4890" width="18.88671875" style="13" bestFit="1" customWidth="1"/>
    <col min="4891" max="5120" width="9.109375" style="13"/>
    <col min="5121" max="5121" width="10.5546875" style="13" bestFit="1" customWidth="1"/>
    <col min="5122" max="5122" width="44.109375" style="13" customWidth="1"/>
    <col min="5123" max="5123" width="14.6640625" style="13" customWidth="1"/>
    <col min="5124" max="5124" width="23.6640625" style="13" bestFit="1" customWidth="1"/>
    <col min="5125" max="5125" width="11.88671875" style="13" customWidth="1"/>
    <col min="5126" max="5126" width="20.6640625" style="13" customWidth="1"/>
    <col min="5127" max="5127" width="15.6640625" style="13" customWidth="1"/>
    <col min="5128" max="5129" width="16.109375" style="13" bestFit="1" customWidth="1"/>
    <col min="5130" max="5130" width="13.6640625" style="13" customWidth="1"/>
    <col min="5131" max="5131" width="12.6640625" style="13" bestFit="1" customWidth="1"/>
    <col min="5132" max="5132" width="15.5546875" style="13" customWidth="1"/>
    <col min="5133" max="5133" width="16.109375" style="13" bestFit="1" customWidth="1"/>
    <col min="5134" max="5134" width="13.33203125" style="13" bestFit="1" customWidth="1"/>
    <col min="5135" max="5135" width="16.33203125" style="13" bestFit="1" customWidth="1"/>
    <col min="5136" max="5136" width="9.33203125" style="13" bestFit="1" customWidth="1"/>
    <col min="5137" max="5137" width="13" style="13" bestFit="1" customWidth="1"/>
    <col min="5138" max="5138" width="20.109375" style="13" bestFit="1" customWidth="1"/>
    <col min="5139" max="5139" width="50.33203125" style="13" bestFit="1" customWidth="1"/>
    <col min="5140" max="5140" width="16.109375" style="13" bestFit="1" customWidth="1"/>
    <col min="5141" max="5141" width="12.33203125" style="13" customWidth="1"/>
    <col min="5142" max="5142" width="18.88671875" style="13" bestFit="1" customWidth="1"/>
    <col min="5143" max="5143" width="16.6640625" style="13" customWidth="1"/>
    <col min="5144" max="5144" width="19" style="13" bestFit="1" customWidth="1"/>
    <col min="5145" max="5145" width="9.109375" style="13"/>
    <col min="5146" max="5146" width="18.88671875" style="13" bestFit="1" customWidth="1"/>
    <col min="5147" max="5376" width="9.109375" style="13"/>
    <col min="5377" max="5377" width="10.5546875" style="13" bestFit="1" customWidth="1"/>
    <col min="5378" max="5378" width="44.109375" style="13" customWidth="1"/>
    <col min="5379" max="5379" width="14.6640625" style="13" customWidth="1"/>
    <col min="5380" max="5380" width="23.6640625" style="13" bestFit="1" customWidth="1"/>
    <col min="5381" max="5381" width="11.88671875" style="13" customWidth="1"/>
    <col min="5382" max="5382" width="20.6640625" style="13" customWidth="1"/>
    <col min="5383" max="5383" width="15.6640625" style="13" customWidth="1"/>
    <col min="5384" max="5385" width="16.109375" style="13" bestFit="1" customWidth="1"/>
    <col min="5386" max="5386" width="13.6640625" style="13" customWidth="1"/>
    <col min="5387" max="5387" width="12.6640625" style="13" bestFit="1" customWidth="1"/>
    <col min="5388" max="5388" width="15.5546875" style="13" customWidth="1"/>
    <col min="5389" max="5389" width="16.109375" style="13" bestFit="1" customWidth="1"/>
    <col min="5390" max="5390" width="13.33203125" style="13" bestFit="1" customWidth="1"/>
    <col min="5391" max="5391" width="16.33203125" style="13" bestFit="1" customWidth="1"/>
    <col min="5392" max="5392" width="9.33203125" style="13" bestFit="1" customWidth="1"/>
    <col min="5393" max="5393" width="13" style="13" bestFit="1" customWidth="1"/>
    <col min="5394" max="5394" width="20.109375" style="13" bestFit="1" customWidth="1"/>
    <col min="5395" max="5395" width="50.33203125" style="13" bestFit="1" customWidth="1"/>
    <col min="5396" max="5396" width="16.109375" style="13" bestFit="1" customWidth="1"/>
    <col min="5397" max="5397" width="12.33203125" style="13" customWidth="1"/>
    <col min="5398" max="5398" width="18.88671875" style="13" bestFit="1" customWidth="1"/>
    <col min="5399" max="5399" width="16.6640625" style="13" customWidth="1"/>
    <col min="5400" max="5400" width="19" style="13" bestFit="1" customWidth="1"/>
    <col min="5401" max="5401" width="9.109375" style="13"/>
    <col min="5402" max="5402" width="18.88671875" style="13" bestFit="1" customWidth="1"/>
    <col min="5403" max="5632" width="9.109375" style="13"/>
    <col min="5633" max="5633" width="10.5546875" style="13" bestFit="1" customWidth="1"/>
    <col min="5634" max="5634" width="44.109375" style="13" customWidth="1"/>
    <col min="5635" max="5635" width="14.6640625" style="13" customWidth="1"/>
    <col min="5636" max="5636" width="23.6640625" style="13" bestFit="1" customWidth="1"/>
    <col min="5637" max="5637" width="11.88671875" style="13" customWidth="1"/>
    <col min="5638" max="5638" width="20.6640625" style="13" customWidth="1"/>
    <col min="5639" max="5639" width="15.6640625" style="13" customWidth="1"/>
    <col min="5640" max="5641" width="16.109375" style="13" bestFit="1" customWidth="1"/>
    <col min="5642" max="5642" width="13.6640625" style="13" customWidth="1"/>
    <col min="5643" max="5643" width="12.6640625" style="13" bestFit="1" customWidth="1"/>
    <col min="5644" max="5644" width="15.5546875" style="13" customWidth="1"/>
    <col min="5645" max="5645" width="16.109375" style="13" bestFit="1" customWidth="1"/>
    <col min="5646" max="5646" width="13.33203125" style="13" bestFit="1" customWidth="1"/>
    <col min="5647" max="5647" width="16.33203125" style="13" bestFit="1" customWidth="1"/>
    <col min="5648" max="5648" width="9.33203125" style="13" bestFit="1" customWidth="1"/>
    <col min="5649" max="5649" width="13" style="13" bestFit="1" customWidth="1"/>
    <col min="5650" max="5650" width="20.109375" style="13" bestFit="1" customWidth="1"/>
    <col min="5651" max="5651" width="50.33203125" style="13" bestFit="1" customWidth="1"/>
    <col min="5652" max="5652" width="16.109375" style="13" bestFit="1" customWidth="1"/>
    <col min="5653" max="5653" width="12.33203125" style="13" customWidth="1"/>
    <col min="5654" max="5654" width="18.88671875" style="13" bestFit="1" customWidth="1"/>
    <col min="5655" max="5655" width="16.6640625" style="13" customWidth="1"/>
    <col min="5656" max="5656" width="19" style="13" bestFit="1" customWidth="1"/>
    <col min="5657" max="5657" width="9.109375" style="13"/>
    <col min="5658" max="5658" width="18.88671875" style="13" bestFit="1" customWidth="1"/>
    <col min="5659" max="5888" width="9.109375" style="13"/>
    <col min="5889" max="5889" width="10.5546875" style="13" bestFit="1" customWidth="1"/>
    <col min="5890" max="5890" width="44.109375" style="13" customWidth="1"/>
    <col min="5891" max="5891" width="14.6640625" style="13" customWidth="1"/>
    <col min="5892" max="5892" width="23.6640625" style="13" bestFit="1" customWidth="1"/>
    <col min="5893" max="5893" width="11.88671875" style="13" customWidth="1"/>
    <col min="5894" max="5894" width="20.6640625" style="13" customWidth="1"/>
    <col min="5895" max="5895" width="15.6640625" style="13" customWidth="1"/>
    <col min="5896" max="5897" width="16.109375" style="13" bestFit="1" customWidth="1"/>
    <col min="5898" max="5898" width="13.6640625" style="13" customWidth="1"/>
    <col min="5899" max="5899" width="12.6640625" style="13" bestFit="1" customWidth="1"/>
    <col min="5900" max="5900" width="15.5546875" style="13" customWidth="1"/>
    <col min="5901" max="5901" width="16.109375" style="13" bestFit="1" customWidth="1"/>
    <col min="5902" max="5902" width="13.33203125" style="13" bestFit="1" customWidth="1"/>
    <col min="5903" max="5903" width="16.33203125" style="13" bestFit="1" customWidth="1"/>
    <col min="5904" max="5904" width="9.33203125" style="13" bestFit="1" customWidth="1"/>
    <col min="5905" max="5905" width="13" style="13" bestFit="1" customWidth="1"/>
    <col min="5906" max="5906" width="20.109375" style="13" bestFit="1" customWidth="1"/>
    <col min="5907" max="5907" width="50.33203125" style="13" bestFit="1" customWidth="1"/>
    <col min="5908" max="5908" width="16.109375" style="13" bestFit="1" customWidth="1"/>
    <col min="5909" max="5909" width="12.33203125" style="13" customWidth="1"/>
    <col min="5910" max="5910" width="18.88671875" style="13" bestFit="1" customWidth="1"/>
    <col min="5911" max="5911" width="16.6640625" style="13" customWidth="1"/>
    <col min="5912" max="5912" width="19" style="13" bestFit="1" customWidth="1"/>
    <col min="5913" max="5913" width="9.109375" style="13"/>
    <col min="5914" max="5914" width="18.88671875" style="13" bestFit="1" customWidth="1"/>
    <col min="5915" max="6144" width="9.109375" style="13"/>
    <col min="6145" max="6145" width="10.5546875" style="13" bestFit="1" customWidth="1"/>
    <col min="6146" max="6146" width="44.109375" style="13" customWidth="1"/>
    <col min="6147" max="6147" width="14.6640625" style="13" customWidth="1"/>
    <col min="6148" max="6148" width="23.6640625" style="13" bestFit="1" customWidth="1"/>
    <col min="6149" max="6149" width="11.88671875" style="13" customWidth="1"/>
    <col min="6150" max="6150" width="20.6640625" style="13" customWidth="1"/>
    <col min="6151" max="6151" width="15.6640625" style="13" customWidth="1"/>
    <col min="6152" max="6153" width="16.109375" style="13" bestFit="1" customWidth="1"/>
    <col min="6154" max="6154" width="13.6640625" style="13" customWidth="1"/>
    <col min="6155" max="6155" width="12.6640625" style="13" bestFit="1" customWidth="1"/>
    <col min="6156" max="6156" width="15.5546875" style="13" customWidth="1"/>
    <col min="6157" max="6157" width="16.109375" style="13" bestFit="1" customWidth="1"/>
    <col min="6158" max="6158" width="13.33203125" style="13" bestFit="1" customWidth="1"/>
    <col min="6159" max="6159" width="16.33203125" style="13" bestFit="1" customWidth="1"/>
    <col min="6160" max="6160" width="9.33203125" style="13" bestFit="1" customWidth="1"/>
    <col min="6161" max="6161" width="13" style="13" bestFit="1" customWidth="1"/>
    <col min="6162" max="6162" width="20.109375" style="13" bestFit="1" customWidth="1"/>
    <col min="6163" max="6163" width="50.33203125" style="13" bestFit="1" customWidth="1"/>
    <col min="6164" max="6164" width="16.109375" style="13" bestFit="1" customWidth="1"/>
    <col min="6165" max="6165" width="12.33203125" style="13" customWidth="1"/>
    <col min="6166" max="6166" width="18.88671875" style="13" bestFit="1" customWidth="1"/>
    <col min="6167" max="6167" width="16.6640625" style="13" customWidth="1"/>
    <col min="6168" max="6168" width="19" style="13" bestFit="1" customWidth="1"/>
    <col min="6169" max="6169" width="9.109375" style="13"/>
    <col min="6170" max="6170" width="18.88671875" style="13" bestFit="1" customWidth="1"/>
    <col min="6171" max="6400" width="9.109375" style="13"/>
    <col min="6401" max="6401" width="10.5546875" style="13" bestFit="1" customWidth="1"/>
    <col min="6402" max="6402" width="44.109375" style="13" customWidth="1"/>
    <col min="6403" max="6403" width="14.6640625" style="13" customWidth="1"/>
    <col min="6404" max="6404" width="23.6640625" style="13" bestFit="1" customWidth="1"/>
    <col min="6405" max="6405" width="11.88671875" style="13" customWidth="1"/>
    <col min="6406" max="6406" width="20.6640625" style="13" customWidth="1"/>
    <col min="6407" max="6407" width="15.6640625" style="13" customWidth="1"/>
    <col min="6408" max="6409" width="16.109375" style="13" bestFit="1" customWidth="1"/>
    <col min="6410" max="6410" width="13.6640625" style="13" customWidth="1"/>
    <col min="6411" max="6411" width="12.6640625" style="13" bestFit="1" customWidth="1"/>
    <col min="6412" max="6412" width="15.5546875" style="13" customWidth="1"/>
    <col min="6413" max="6413" width="16.109375" style="13" bestFit="1" customWidth="1"/>
    <col min="6414" max="6414" width="13.33203125" style="13" bestFit="1" customWidth="1"/>
    <col min="6415" max="6415" width="16.33203125" style="13" bestFit="1" customWidth="1"/>
    <col min="6416" max="6416" width="9.33203125" style="13" bestFit="1" customWidth="1"/>
    <col min="6417" max="6417" width="13" style="13" bestFit="1" customWidth="1"/>
    <col min="6418" max="6418" width="20.109375" style="13" bestFit="1" customWidth="1"/>
    <col min="6419" max="6419" width="50.33203125" style="13" bestFit="1" customWidth="1"/>
    <col min="6420" max="6420" width="16.109375" style="13" bestFit="1" customWidth="1"/>
    <col min="6421" max="6421" width="12.33203125" style="13" customWidth="1"/>
    <col min="6422" max="6422" width="18.88671875" style="13" bestFit="1" customWidth="1"/>
    <col min="6423" max="6423" width="16.6640625" style="13" customWidth="1"/>
    <col min="6424" max="6424" width="19" style="13" bestFit="1" customWidth="1"/>
    <col min="6425" max="6425" width="9.109375" style="13"/>
    <col min="6426" max="6426" width="18.88671875" style="13" bestFit="1" customWidth="1"/>
    <col min="6427" max="6656" width="9.109375" style="13"/>
    <col min="6657" max="6657" width="10.5546875" style="13" bestFit="1" customWidth="1"/>
    <col min="6658" max="6658" width="44.109375" style="13" customWidth="1"/>
    <col min="6659" max="6659" width="14.6640625" style="13" customWidth="1"/>
    <col min="6660" max="6660" width="23.6640625" style="13" bestFit="1" customWidth="1"/>
    <col min="6661" max="6661" width="11.88671875" style="13" customWidth="1"/>
    <col min="6662" max="6662" width="20.6640625" style="13" customWidth="1"/>
    <col min="6663" max="6663" width="15.6640625" style="13" customWidth="1"/>
    <col min="6664" max="6665" width="16.109375" style="13" bestFit="1" customWidth="1"/>
    <col min="6666" max="6666" width="13.6640625" style="13" customWidth="1"/>
    <col min="6667" max="6667" width="12.6640625" style="13" bestFit="1" customWidth="1"/>
    <col min="6668" max="6668" width="15.5546875" style="13" customWidth="1"/>
    <col min="6669" max="6669" width="16.109375" style="13" bestFit="1" customWidth="1"/>
    <col min="6670" max="6670" width="13.33203125" style="13" bestFit="1" customWidth="1"/>
    <col min="6671" max="6671" width="16.33203125" style="13" bestFit="1" customWidth="1"/>
    <col min="6672" max="6672" width="9.33203125" style="13" bestFit="1" customWidth="1"/>
    <col min="6673" max="6673" width="13" style="13" bestFit="1" customWidth="1"/>
    <col min="6674" max="6674" width="20.109375" style="13" bestFit="1" customWidth="1"/>
    <col min="6675" max="6675" width="50.33203125" style="13" bestFit="1" customWidth="1"/>
    <col min="6676" max="6676" width="16.109375" style="13" bestFit="1" customWidth="1"/>
    <col min="6677" max="6677" width="12.33203125" style="13" customWidth="1"/>
    <col min="6678" max="6678" width="18.88671875" style="13" bestFit="1" customWidth="1"/>
    <col min="6679" max="6679" width="16.6640625" style="13" customWidth="1"/>
    <col min="6680" max="6680" width="19" style="13" bestFit="1" customWidth="1"/>
    <col min="6681" max="6681" width="9.109375" style="13"/>
    <col min="6682" max="6682" width="18.88671875" style="13" bestFit="1" customWidth="1"/>
    <col min="6683" max="6912" width="9.109375" style="13"/>
    <col min="6913" max="6913" width="10.5546875" style="13" bestFit="1" customWidth="1"/>
    <col min="6914" max="6914" width="44.109375" style="13" customWidth="1"/>
    <col min="6915" max="6915" width="14.6640625" style="13" customWidth="1"/>
    <col min="6916" max="6916" width="23.6640625" style="13" bestFit="1" customWidth="1"/>
    <col min="6917" max="6917" width="11.88671875" style="13" customWidth="1"/>
    <col min="6918" max="6918" width="20.6640625" style="13" customWidth="1"/>
    <col min="6919" max="6919" width="15.6640625" style="13" customWidth="1"/>
    <col min="6920" max="6921" width="16.109375" style="13" bestFit="1" customWidth="1"/>
    <col min="6922" max="6922" width="13.6640625" style="13" customWidth="1"/>
    <col min="6923" max="6923" width="12.6640625" style="13" bestFit="1" customWidth="1"/>
    <col min="6924" max="6924" width="15.5546875" style="13" customWidth="1"/>
    <col min="6925" max="6925" width="16.109375" style="13" bestFit="1" customWidth="1"/>
    <col min="6926" max="6926" width="13.33203125" style="13" bestFit="1" customWidth="1"/>
    <col min="6927" max="6927" width="16.33203125" style="13" bestFit="1" customWidth="1"/>
    <col min="6928" max="6928" width="9.33203125" style="13" bestFit="1" customWidth="1"/>
    <col min="6929" max="6929" width="13" style="13" bestFit="1" customWidth="1"/>
    <col min="6930" max="6930" width="20.109375" style="13" bestFit="1" customWidth="1"/>
    <col min="6931" max="6931" width="50.33203125" style="13" bestFit="1" customWidth="1"/>
    <col min="6932" max="6932" width="16.109375" style="13" bestFit="1" customWidth="1"/>
    <col min="6933" max="6933" width="12.33203125" style="13" customWidth="1"/>
    <col min="6934" max="6934" width="18.88671875" style="13" bestFit="1" customWidth="1"/>
    <col min="6935" max="6935" width="16.6640625" style="13" customWidth="1"/>
    <col min="6936" max="6936" width="19" style="13" bestFit="1" customWidth="1"/>
    <col min="6937" max="6937" width="9.109375" style="13"/>
    <col min="6938" max="6938" width="18.88671875" style="13" bestFit="1" customWidth="1"/>
    <col min="6939" max="7168" width="9.109375" style="13"/>
    <col min="7169" max="7169" width="10.5546875" style="13" bestFit="1" customWidth="1"/>
    <col min="7170" max="7170" width="44.109375" style="13" customWidth="1"/>
    <col min="7171" max="7171" width="14.6640625" style="13" customWidth="1"/>
    <col min="7172" max="7172" width="23.6640625" style="13" bestFit="1" customWidth="1"/>
    <col min="7173" max="7173" width="11.88671875" style="13" customWidth="1"/>
    <col min="7174" max="7174" width="20.6640625" style="13" customWidth="1"/>
    <col min="7175" max="7175" width="15.6640625" style="13" customWidth="1"/>
    <col min="7176" max="7177" width="16.109375" style="13" bestFit="1" customWidth="1"/>
    <col min="7178" max="7178" width="13.6640625" style="13" customWidth="1"/>
    <col min="7179" max="7179" width="12.6640625" style="13" bestFit="1" customWidth="1"/>
    <col min="7180" max="7180" width="15.5546875" style="13" customWidth="1"/>
    <col min="7181" max="7181" width="16.109375" style="13" bestFit="1" customWidth="1"/>
    <col min="7182" max="7182" width="13.33203125" style="13" bestFit="1" customWidth="1"/>
    <col min="7183" max="7183" width="16.33203125" style="13" bestFit="1" customWidth="1"/>
    <col min="7184" max="7184" width="9.33203125" style="13" bestFit="1" customWidth="1"/>
    <col min="7185" max="7185" width="13" style="13" bestFit="1" customWidth="1"/>
    <col min="7186" max="7186" width="20.109375" style="13" bestFit="1" customWidth="1"/>
    <col min="7187" max="7187" width="50.33203125" style="13" bestFit="1" customWidth="1"/>
    <col min="7188" max="7188" width="16.109375" style="13" bestFit="1" customWidth="1"/>
    <col min="7189" max="7189" width="12.33203125" style="13" customWidth="1"/>
    <col min="7190" max="7190" width="18.88671875" style="13" bestFit="1" customWidth="1"/>
    <col min="7191" max="7191" width="16.6640625" style="13" customWidth="1"/>
    <col min="7192" max="7192" width="19" style="13" bestFit="1" customWidth="1"/>
    <col min="7193" max="7193" width="9.109375" style="13"/>
    <col min="7194" max="7194" width="18.88671875" style="13" bestFit="1" customWidth="1"/>
    <col min="7195" max="7424" width="9.109375" style="13"/>
    <col min="7425" max="7425" width="10.5546875" style="13" bestFit="1" customWidth="1"/>
    <col min="7426" max="7426" width="44.109375" style="13" customWidth="1"/>
    <col min="7427" max="7427" width="14.6640625" style="13" customWidth="1"/>
    <col min="7428" max="7428" width="23.6640625" style="13" bestFit="1" customWidth="1"/>
    <col min="7429" max="7429" width="11.88671875" style="13" customWidth="1"/>
    <col min="7430" max="7430" width="20.6640625" style="13" customWidth="1"/>
    <col min="7431" max="7431" width="15.6640625" style="13" customWidth="1"/>
    <col min="7432" max="7433" width="16.109375" style="13" bestFit="1" customWidth="1"/>
    <col min="7434" max="7434" width="13.6640625" style="13" customWidth="1"/>
    <col min="7435" max="7435" width="12.6640625" style="13" bestFit="1" customWidth="1"/>
    <col min="7436" max="7436" width="15.5546875" style="13" customWidth="1"/>
    <col min="7437" max="7437" width="16.109375" style="13" bestFit="1" customWidth="1"/>
    <col min="7438" max="7438" width="13.33203125" style="13" bestFit="1" customWidth="1"/>
    <col min="7439" max="7439" width="16.33203125" style="13" bestFit="1" customWidth="1"/>
    <col min="7440" max="7440" width="9.33203125" style="13" bestFit="1" customWidth="1"/>
    <col min="7441" max="7441" width="13" style="13" bestFit="1" customWidth="1"/>
    <col min="7442" max="7442" width="20.109375" style="13" bestFit="1" customWidth="1"/>
    <col min="7443" max="7443" width="50.33203125" style="13" bestFit="1" customWidth="1"/>
    <col min="7444" max="7444" width="16.109375" style="13" bestFit="1" customWidth="1"/>
    <col min="7445" max="7445" width="12.33203125" style="13" customWidth="1"/>
    <col min="7446" max="7446" width="18.88671875" style="13" bestFit="1" customWidth="1"/>
    <col min="7447" max="7447" width="16.6640625" style="13" customWidth="1"/>
    <col min="7448" max="7448" width="19" style="13" bestFit="1" customWidth="1"/>
    <col min="7449" max="7449" width="9.109375" style="13"/>
    <col min="7450" max="7450" width="18.88671875" style="13" bestFit="1" customWidth="1"/>
    <col min="7451" max="7680" width="9.109375" style="13"/>
    <col min="7681" max="7681" width="10.5546875" style="13" bestFit="1" customWidth="1"/>
    <col min="7682" max="7682" width="44.109375" style="13" customWidth="1"/>
    <col min="7683" max="7683" width="14.6640625" style="13" customWidth="1"/>
    <col min="7684" max="7684" width="23.6640625" style="13" bestFit="1" customWidth="1"/>
    <col min="7685" max="7685" width="11.88671875" style="13" customWidth="1"/>
    <col min="7686" max="7686" width="20.6640625" style="13" customWidth="1"/>
    <col min="7687" max="7687" width="15.6640625" style="13" customWidth="1"/>
    <col min="7688" max="7689" width="16.109375" style="13" bestFit="1" customWidth="1"/>
    <col min="7690" max="7690" width="13.6640625" style="13" customWidth="1"/>
    <col min="7691" max="7691" width="12.6640625" style="13" bestFit="1" customWidth="1"/>
    <col min="7692" max="7692" width="15.5546875" style="13" customWidth="1"/>
    <col min="7693" max="7693" width="16.109375" style="13" bestFit="1" customWidth="1"/>
    <col min="7694" max="7694" width="13.33203125" style="13" bestFit="1" customWidth="1"/>
    <col min="7695" max="7695" width="16.33203125" style="13" bestFit="1" customWidth="1"/>
    <col min="7696" max="7696" width="9.33203125" style="13" bestFit="1" customWidth="1"/>
    <col min="7697" max="7697" width="13" style="13" bestFit="1" customWidth="1"/>
    <col min="7698" max="7698" width="20.109375" style="13" bestFit="1" customWidth="1"/>
    <col min="7699" max="7699" width="50.33203125" style="13" bestFit="1" customWidth="1"/>
    <col min="7700" max="7700" width="16.109375" style="13" bestFit="1" customWidth="1"/>
    <col min="7701" max="7701" width="12.33203125" style="13" customWidth="1"/>
    <col min="7702" max="7702" width="18.88671875" style="13" bestFit="1" customWidth="1"/>
    <col min="7703" max="7703" width="16.6640625" style="13" customWidth="1"/>
    <col min="7704" max="7704" width="19" style="13" bestFit="1" customWidth="1"/>
    <col min="7705" max="7705" width="9.109375" style="13"/>
    <col min="7706" max="7706" width="18.88671875" style="13" bestFit="1" customWidth="1"/>
    <col min="7707" max="7936" width="9.109375" style="13"/>
    <col min="7937" max="7937" width="10.5546875" style="13" bestFit="1" customWidth="1"/>
    <col min="7938" max="7938" width="44.109375" style="13" customWidth="1"/>
    <col min="7939" max="7939" width="14.6640625" style="13" customWidth="1"/>
    <col min="7940" max="7940" width="23.6640625" style="13" bestFit="1" customWidth="1"/>
    <col min="7941" max="7941" width="11.88671875" style="13" customWidth="1"/>
    <col min="7942" max="7942" width="20.6640625" style="13" customWidth="1"/>
    <col min="7943" max="7943" width="15.6640625" style="13" customWidth="1"/>
    <col min="7944" max="7945" width="16.109375" style="13" bestFit="1" customWidth="1"/>
    <col min="7946" max="7946" width="13.6640625" style="13" customWidth="1"/>
    <col min="7947" max="7947" width="12.6640625" style="13" bestFit="1" customWidth="1"/>
    <col min="7948" max="7948" width="15.5546875" style="13" customWidth="1"/>
    <col min="7949" max="7949" width="16.109375" style="13" bestFit="1" customWidth="1"/>
    <col min="7950" max="7950" width="13.33203125" style="13" bestFit="1" customWidth="1"/>
    <col min="7951" max="7951" width="16.33203125" style="13" bestFit="1" customWidth="1"/>
    <col min="7952" max="7952" width="9.33203125" style="13" bestFit="1" customWidth="1"/>
    <col min="7953" max="7953" width="13" style="13" bestFit="1" customWidth="1"/>
    <col min="7954" max="7954" width="20.109375" style="13" bestFit="1" customWidth="1"/>
    <col min="7955" max="7955" width="50.33203125" style="13" bestFit="1" customWidth="1"/>
    <col min="7956" max="7956" width="16.109375" style="13" bestFit="1" customWidth="1"/>
    <col min="7957" max="7957" width="12.33203125" style="13" customWidth="1"/>
    <col min="7958" max="7958" width="18.88671875" style="13" bestFit="1" customWidth="1"/>
    <col min="7959" max="7959" width="16.6640625" style="13" customWidth="1"/>
    <col min="7960" max="7960" width="19" style="13" bestFit="1" customWidth="1"/>
    <col min="7961" max="7961" width="9.109375" style="13"/>
    <col min="7962" max="7962" width="18.88671875" style="13" bestFit="1" customWidth="1"/>
    <col min="7963" max="8192" width="9.109375" style="13"/>
    <col min="8193" max="8193" width="10.5546875" style="13" bestFit="1" customWidth="1"/>
    <col min="8194" max="8194" width="44.109375" style="13" customWidth="1"/>
    <col min="8195" max="8195" width="14.6640625" style="13" customWidth="1"/>
    <col min="8196" max="8196" width="23.6640625" style="13" bestFit="1" customWidth="1"/>
    <col min="8197" max="8197" width="11.88671875" style="13" customWidth="1"/>
    <col min="8198" max="8198" width="20.6640625" style="13" customWidth="1"/>
    <col min="8199" max="8199" width="15.6640625" style="13" customWidth="1"/>
    <col min="8200" max="8201" width="16.109375" style="13" bestFit="1" customWidth="1"/>
    <col min="8202" max="8202" width="13.6640625" style="13" customWidth="1"/>
    <col min="8203" max="8203" width="12.6640625" style="13" bestFit="1" customWidth="1"/>
    <col min="8204" max="8204" width="15.5546875" style="13" customWidth="1"/>
    <col min="8205" max="8205" width="16.109375" style="13" bestFit="1" customWidth="1"/>
    <col min="8206" max="8206" width="13.33203125" style="13" bestFit="1" customWidth="1"/>
    <col min="8207" max="8207" width="16.33203125" style="13" bestFit="1" customWidth="1"/>
    <col min="8208" max="8208" width="9.33203125" style="13" bestFit="1" customWidth="1"/>
    <col min="8209" max="8209" width="13" style="13" bestFit="1" customWidth="1"/>
    <col min="8210" max="8210" width="20.109375" style="13" bestFit="1" customWidth="1"/>
    <col min="8211" max="8211" width="50.33203125" style="13" bestFit="1" customWidth="1"/>
    <col min="8212" max="8212" width="16.109375" style="13" bestFit="1" customWidth="1"/>
    <col min="8213" max="8213" width="12.33203125" style="13" customWidth="1"/>
    <col min="8214" max="8214" width="18.88671875" style="13" bestFit="1" customWidth="1"/>
    <col min="8215" max="8215" width="16.6640625" style="13" customWidth="1"/>
    <col min="8216" max="8216" width="19" style="13" bestFit="1" customWidth="1"/>
    <col min="8217" max="8217" width="9.109375" style="13"/>
    <col min="8218" max="8218" width="18.88671875" style="13" bestFit="1" customWidth="1"/>
    <col min="8219" max="8448" width="9.109375" style="13"/>
    <col min="8449" max="8449" width="10.5546875" style="13" bestFit="1" customWidth="1"/>
    <col min="8450" max="8450" width="44.109375" style="13" customWidth="1"/>
    <col min="8451" max="8451" width="14.6640625" style="13" customWidth="1"/>
    <col min="8452" max="8452" width="23.6640625" style="13" bestFit="1" customWidth="1"/>
    <col min="8453" max="8453" width="11.88671875" style="13" customWidth="1"/>
    <col min="8454" max="8454" width="20.6640625" style="13" customWidth="1"/>
    <col min="8455" max="8455" width="15.6640625" style="13" customWidth="1"/>
    <col min="8456" max="8457" width="16.109375" style="13" bestFit="1" customWidth="1"/>
    <col min="8458" max="8458" width="13.6640625" style="13" customWidth="1"/>
    <col min="8459" max="8459" width="12.6640625" style="13" bestFit="1" customWidth="1"/>
    <col min="8460" max="8460" width="15.5546875" style="13" customWidth="1"/>
    <col min="8461" max="8461" width="16.109375" style="13" bestFit="1" customWidth="1"/>
    <col min="8462" max="8462" width="13.33203125" style="13" bestFit="1" customWidth="1"/>
    <col min="8463" max="8463" width="16.33203125" style="13" bestFit="1" customWidth="1"/>
    <col min="8464" max="8464" width="9.33203125" style="13" bestFit="1" customWidth="1"/>
    <col min="8465" max="8465" width="13" style="13" bestFit="1" customWidth="1"/>
    <col min="8466" max="8466" width="20.109375" style="13" bestFit="1" customWidth="1"/>
    <col min="8467" max="8467" width="50.33203125" style="13" bestFit="1" customWidth="1"/>
    <col min="8468" max="8468" width="16.109375" style="13" bestFit="1" customWidth="1"/>
    <col min="8469" max="8469" width="12.33203125" style="13" customWidth="1"/>
    <col min="8470" max="8470" width="18.88671875" style="13" bestFit="1" customWidth="1"/>
    <col min="8471" max="8471" width="16.6640625" style="13" customWidth="1"/>
    <col min="8472" max="8472" width="19" style="13" bestFit="1" customWidth="1"/>
    <col min="8473" max="8473" width="9.109375" style="13"/>
    <col min="8474" max="8474" width="18.88671875" style="13" bestFit="1" customWidth="1"/>
    <col min="8475" max="8704" width="9.109375" style="13"/>
    <col min="8705" max="8705" width="10.5546875" style="13" bestFit="1" customWidth="1"/>
    <col min="8706" max="8706" width="44.109375" style="13" customWidth="1"/>
    <col min="8707" max="8707" width="14.6640625" style="13" customWidth="1"/>
    <col min="8708" max="8708" width="23.6640625" style="13" bestFit="1" customWidth="1"/>
    <col min="8709" max="8709" width="11.88671875" style="13" customWidth="1"/>
    <col min="8710" max="8710" width="20.6640625" style="13" customWidth="1"/>
    <col min="8711" max="8711" width="15.6640625" style="13" customWidth="1"/>
    <col min="8712" max="8713" width="16.109375" style="13" bestFit="1" customWidth="1"/>
    <col min="8714" max="8714" width="13.6640625" style="13" customWidth="1"/>
    <col min="8715" max="8715" width="12.6640625" style="13" bestFit="1" customWidth="1"/>
    <col min="8716" max="8716" width="15.5546875" style="13" customWidth="1"/>
    <col min="8717" max="8717" width="16.109375" style="13" bestFit="1" customWidth="1"/>
    <col min="8718" max="8718" width="13.33203125" style="13" bestFit="1" customWidth="1"/>
    <col min="8719" max="8719" width="16.33203125" style="13" bestFit="1" customWidth="1"/>
    <col min="8720" max="8720" width="9.33203125" style="13" bestFit="1" customWidth="1"/>
    <col min="8721" max="8721" width="13" style="13" bestFit="1" customWidth="1"/>
    <col min="8722" max="8722" width="20.109375" style="13" bestFit="1" customWidth="1"/>
    <col min="8723" max="8723" width="50.33203125" style="13" bestFit="1" customWidth="1"/>
    <col min="8724" max="8724" width="16.109375" style="13" bestFit="1" customWidth="1"/>
    <col min="8725" max="8725" width="12.33203125" style="13" customWidth="1"/>
    <col min="8726" max="8726" width="18.88671875" style="13" bestFit="1" customWidth="1"/>
    <col min="8727" max="8727" width="16.6640625" style="13" customWidth="1"/>
    <col min="8728" max="8728" width="19" style="13" bestFit="1" customWidth="1"/>
    <col min="8729" max="8729" width="9.109375" style="13"/>
    <col min="8730" max="8730" width="18.88671875" style="13" bestFit="1" customWidth="1"/>
    <col min="8731" max="8960" width="9.109375" style="13"/>
    <col min="8961" max="8961" width="10.5546875" style="13" bestFit="1" customWidth="1"/>
    <col min="8962" max="8962" width="44.109375" style="13" customWidth="1"/>
    <col min="8963" max="8963" width="14.6640625" style="13" customWidth="1"/>
    <col min="8964" max="8964" width="23.6640625" style="13" bestFit="1" customWidth="1"/>
    <col min="8965" max="8965" width="11.88671875" style="13" customWidth="1"/>
    <col min="8966" max="8966" width="20.6640625" style="13" customWidth="1"/>
    <col min="8967" max="8967" width="15.6640625" style="13" customWidth="1"/>
    <col min="8968" max="8969" width="16.109375" style="13" bestFit="1" customWidth="1"/>
    <col min="8970" max="8970" width="13.6640625" style="13" customWidth="1"/>
    <col min="8971" max="8971" width="12.6640625" style="13" bestFit="1" customWidth="1"/>
    <col min="8972" max="8972" width="15.5546875" style="13" customWidth="1"/>
    <col min="8973" max="8973" width="16.109375" style="13" bestFit="1" customWidth="1"/>
    <col min="8974" max="8974" width="13.33203125" style="13" bestFit="1" customWidth="1"/>
    <col min="8975" max="8975" width="16.33203125" style="13" bestFit="1" customWidth="1"/>
    <col min="8976" max="8976" width="9.33203125" style="13" bestFit="1" customWidth="1"/>
    <col min="8977" max="8977" width="13" style="13" bestFit="1" customWidth="1"/>
    <col min="8978" max="8978" width="20.109375" style="13" bestFit="1" customWidth="1"/>
    <col min="8979" max="8979" width="50.33203125" style="13" bestFit="1" customWidth="1"/>
    <col min="8980" max="8980" width="16.109375" style="13" bestFit="1" customWidth="1"/>
    <col min="8981" max="8981" width="12.33203125" style="13" customWidth="1"/>
    <col min="8982" max="8982" width="18.88671875" style="13" bestFit="1" customWidth="1"/>
    <col min="8983" max="8983" width="16.6640625" style="13" customWidth="1"/>
    <col min="8984" max="8984" width="19" style="13" bestFit="1" customWidth="1"/>
    <col min="8985" max="8985" width="9.109375" style="13"/>
    <col min="8986" max="8986" width="18.88671875" style="13" bestFit="1" customWidth="1"/>
    <col min="8987" max="9216" width="9.109375" style="13"/>
    <col min="9217" max="9217" width="10.5546875" style="13" bestFit="1" customWidth="1"/>
    <col min="9218" max="9218" width="44.109375" style="13" customWidth="1"/>
    <col min="9219" max="9219" width="14.6640625" style="13" customWidth="1"/>
    <col min="9220" max="9220" width="23.6640625" style="13" bestFit="1" customWidth="1"/>
    <col min="9221" max="9221" width="11.88671875" style="13" customWidth="1"/>
    <col min="9222" max="9222" width="20.6640625" style="13" customWidth="1"/>
    <col min="9223" max="9223" width="15.6640625" style="13" customWidth="1"/>
    <col min="9224" max="9225" width="16.109375" style="13" bestFit="1" customWidth="1"/>
    <col min="9226" max="9226" width="13.6640625" style="13" customWidth="1"/>
    <col min="9227" max="9227" width="12.6640625" style="13" bestFit="1" customWidth="1"/>
    <col min="9228" max="9228" width="15.5546875" style="13" customWidth="1"/>
    <col min="9229" max="9229" width="16.109375" style="13" bestFit="1" customWidth="1"/>
    <col min="9230" max="9230" width="13.33203125" style="13" bestFit="1" customWidth="1"/>
    <col min="9231" max="9231" width="16.33203125" style="13" bestFit="1" customWidth="1"/>
    <col min="9232" max="9232" width="9.33203125" style="13" bestFit="1" customWidth="1"/>
    <col min="9233" max="9233" width="13" style="13" bestFit="1" customWidth="1"/>
    <col min="9234" max="9234" width="20.109375" style="13" bestFit="1" customWidth="1"/>
    <col min="9235" max="9235" width="50.33203125" style="13" bestFit="1" customWidth="1"/>
    <col min="9236" max="9236" width="16.109375" style="13" bestFit="1" customWidth="1"/>
    <col min="9237" max="9237" width="12.33203125" style="13" customWidth="1"/>
    <col min="9238" max="9238" width="18.88671875" style="13" bestFit="1" customWidth="1"/>
    <col min="9239" max="9239" width="16.6640625" style="13" customWidth="1"/>
    <col min="9240" max="9240" width="19" style="13" bestFit="1" customWidth="1"/>
    <col min="9241" max="9241" width="9.109375" style="13"/>
    <col min="9242" max="9242" width="18.88671875" style="13" bestFit="1" customWidth="1"/>
    <col min="9243" max="9472" width="9.109375" style="13"/>
    <col min="9473" max="9473" width="10.5546875" style="13" bestFit="1" customWidth="1"/>
    <col min="9474" max="9474" width="44.109375" style="13" customWidth="1"/>
    <col min="9475" max="9475" width="14.6640625" style="13" customWidth="1"/>
    <col min="9476" max="9476" width="23.6640625" style="13" bestFit="1" customWidth="1"/>
    <col min="9477" max="9477" width="11.88671875" style="13" customWidth="1"/>
    <col min="9478" max="9478" width="20.6640625" style="13" customWidth="1"/>
    <col min="9479" max="9479" width="15.6640625" style="13" customWidth="1"/>
    <col min="9480" max="9481" width="16.109375" style="13" bestFit="1" customWidth="1"/>
    <col min="9482" max="9482" width="13.6640625" style="13" customWidth="1"/>
    <col min="9483" max="9483" width="12.6640625" style="13" bestFit="1" customWidth="1"/>
    <col min="9484" max="9484" width="15.5546875" style="13" customWidth="1"/>
    <col min="9485" max="9485" width="16.109375" style="13" bestFit="1" customWidth="1"/>
    <col min="9486" max="9486" width="13.33203125" style="13" bestFit="1" customWidth="1"/>
    <col min="9487" max="9487" width="16.33203125" style="13" bestFit="1" customWidth="1"/>
    <col min="9488" max="9488" width="9.33203125" style="13" bestFit="1" customWidth="1"/>
    <col min="9489" max="9489" width="13" style="13" bestFit="1" customWidth="1"/>
    <col min="9490" max="9490" width="20.109375" style="13" bestFit="1" customWidth="1"/>
    <col min="9491" max="9491" width="50.33203125" style="13" bestFit="1" customWidth="1"/>
    <col min="9492" max="9492" width="16.109375" style="13" bestFit="1" customWidth="1"/>
    <col min="9493" max="9493" width="12.33203125" style="13" customWidth="1"/>
    <col min="9494" max="9494" width="18.88671875" style="13" bestFit="1" customWidth="1"/>
    <col min="9495" max="9495" width="16.6640625" style="13" customWidth="1"/>
    <col min="9496" max="9496" width="19" style="13" bestFit="1" customWidth="1"/>
    <col min="9497" max="9497" width="9.109375" style="13"/>
    <col min="9498" max="9498" width="18.88671875" style="13" bestFit="1" customWidth="1"/>
    <col min="9499" max="9728" width="9.109375" style="13"/>
    <col min="9729" max="9729" width="10.5546875" style="13" bestFit="1" customWidth="1"/>
    <col min="9730" max="9730" width="44.109375" style="13" customWidth="1"/>
    <col min="9731" max="9731" width="14.6640625" style="13" customWidth="1"/>
    <col min="9732" max="9732" width="23.6640625" style="13" bestFit="1" customWidth="1"/>
    <col min="9733" max="9733" width="11.88671875" style="13" customWidth="1"/>
    <col min="9734" max="9734" width="20.6640625" style="13" customWidth="1"/>
    <col min="9735" max="9735" width="15.6640625" style="13" customWidth="1"/>
    <col min="9736" max="9737" width="16.109375" style="13" bestFit="1" customWidth="1"/>
    <col min="9738" max="9738" width="13.6640625" style="13" customWidth="1"/>
    <col min="9739" max="9739" width="12.6640625" style="13" bestFit="1" customWidth="1"/>
    <col min="9740" max="9740" width="15.5546875" style="13" customWidth="1"/>
    <col min="9741" max="9741" width="16.109375" style="13" bestFit="1" customWidth="1"/>
    <col min="9742" max="9742" width="13.33203125" style="13" bestFit="1" customWidth="1"/>
    <col min="9743" max="9743" width="16.33203125" style="13" bestFit="1" customWidth="1"/>
    <col min="9744" max="9744" width="9.33203125" style="13" bestFit="1" customWidth="1"/>
    <col min="9745" max="9745" width="13" style="13" bestFit="1" customWidth="1"/>
    <col min="9746" max="9746" width="20.109375" style="13" bestFit="1" customWidth="1"/>
    <col min="9747" max="9747" width="50.33203125" style="13" bestFit="1" customWidth="1"/>
    <col min="9748" max="9748" width="16.109375" style="13" bestFit="1" customWidth="1"/>
    <col min="9749" max="9749" width="12.33203125" style="13" customWidth="1"/>
    <col min="9750" max="9750" width="18.88671875" style="13" bestFit="1" customWidth="1"/>
    <col min="9751" max="9751" width="16.6640625" style="13" customWidth="1"/>
    <col min="9752" max="9752" width="19" style="13" bestFit="1" customWidth="1"/>
    <col min="9753" max="9753" width="9.109375" style="13"/>
    <col min="9754" max="9754" width="18.88671875" style="13" bestFit="1" customWidth="1"/>
    <col min="9755" max="9984" width="9.109375" style="13"/>
    <col min="9985" max="9985" width="10.5546875" style="13" bestFit="1" customWidth="1"/>
    <col min="9986" max="9986" width="44.109375" style="13" customWidth="1"/>
    <col min="9987" max="9987" width="14.6640625" style="13" customWidth="1"/>
    <col min="9988" max="9988" width="23.6640625" style="13" bestFit="1" customWidth="1"/>
    <col min="9989" max="9989" width="11.88671875" style="13" customWidth="1"/>
    <col min="9990" max="9990" width="20.6640625" style="13" customWidth="1"/>
    <col min="9991" max="9991" width="15.6640625" style="13" customWidth="1"/>
    <col min="9992" max="9993" width="16.109375" style="13" bestFit="1" customWidth="1"/>
    <col min="9994" max="9994" width="13.6640625" style="13" customWidth="1"/>
    <col min="9995" max="9995" width="12.6640625" style="13" bestFit="1" customWidth="1"/>
    <col min="9996" max="9996" width="15.5546875" style="13" customWidth="1"/>
    <col min="9997" max="9997" width="16.109375" style="13" bestFit="1" customWidth="1"/>
    <col min="9998" max="9998" width="13.33203125" style="13" bestFit="1" customWidth="1"/>
    <col min="9999" max="9999" width="16.33203125" style="13" bestFit="1" customWidth="1"/>
    <col min="10000" max="10000" width="9.33203125" style="13" bestFit="1" customWidth="1"/>
    <col min="10001" max="10001" width="13" style="13" bestFit="1" customWidth="1"/>
    <col min="10002" max="10002" width="20.109375" style="13" bestFit="1" customWidth="1"/>
    <col min="10003" max="10003" width="50.33203125" style="13" bestFit="1" customWidth="1"/>
    <col min="10004" max="10004" width="16.109375" style="13" bestFit="1" customWidth="1"/>
    <col min="10005" max="10005" width="12.33203125" style="13" customWidth="1"/>
    <col min="10006" max="10006" width="18.88671875" style="13" bestFit="1" customWidth="1"/>
    <col min="10007" max="10007" width="16.6640625" style="13" customWidth="1"/>
    <col min="10008" max="10008" width="19" style="13" bestFit="1" customWidth="1"/>
    <col min="10009" max="10009" width="9.109375" style="13"/>
    <col min="10010" max="10010" width="18.88671875" style="13" bestFit="1" customWidth="1"/>
    <col min="10011" max="10240" width="9.109375" style="13"/>
    <col min="10241" max="10241" width="10.5546875" style="13" bestFit="1" customWidth="1"/>
    <col min="10242" max="10242" width="44.109375" style="13" customWidth="1"/>
    <col min="10243" max="10243" width="14.6640625" style="13" customWidth="1"/>
    <col min="10244" max="10244" width="23.6640625" style="13" bestFit="1" customWidth="1"/>
    <col min="10245" max="10245" width="11.88671875" style="13" customWidth="1"/>
    <col min="10246" max="10246" width="20.6640625" style="13" customWidth="1"/>
    <col min="10247" max="10247" width="15.6640625" style="13" customWidth="1"/>
    <col min="10248" max="10249" width="16.109375" style="13" bestFit="1" customWidth="1"/>
    <col min="10250" max="10250" width="13.6640625" style="13" customWidth="1"/>
    <col min="10251" max="10251" width="12.6640625" style="13" bestFit="1" customWidth="1"/>
    <col min="10252" max="10252" width="15.5546875" style="13" customWidth="1"/>
    <col min="10253" max="10253" width="16.109375" style="13" bestFit="1" customWidth="1"/>
    <col min="10254" max="10254" width="13.33203125" style="13" bestFit="1" customWidth="1"/>
    <col min="10255" max="10255" width="16.33203125" style="13" bestFit="1" customWidth="1"/>
    <col min="10256" max="10256" width="9.33203125" style="13" bestFit="1" customWidth="1"/>
    <col min="10257" max="10257" width="13" style="13" bestFit="1" customWidth="1"/>
    <col min="10258" max="10258" width="20.109375" style="13" bestFit="1" customWidth="1"/>
    <col min="10259" max="10259" width="50.33203125" style="13" bestFit="1" customWidth="1"/>
    <col min="10260" max="10260" width="16.109375" style="13" bestFit="1" customWidth="1"/>
    <col min="10261" max="10261" width="12.33203125" style="13" customWidth="1"/>
    <col min="10262" max="10262" width="18.88671875" style="13" bestFit="1" customWidth="1"/>
    <col min="10263" max="10263" width="16.6640625" style="13" customWidth="1"/>
    <col min="10264" max="10264" width="19" style="13" bestFit="1" customWidth="1"/>
    <col min="10265" max="10265" width="9.109375" style="13"/>
    <col min="10266" max="10266" width="18.88671875" style="13" bestFit="1" customWidth="1"/>
    <col min="10267" max="10496" width="9.109375" style="13"/>
    <col min="10497" max="10497" width="10.5546875" style="13" bestFit="1" customWidth="1"/>
    <col min="10498" max="10498" width="44.109375" style="13" customWidth="1"/>
    <col min="10499" max="10499" width="14.6640625" style="13" customWidth="1"/>
    <col min="10500" max="10500" width="23.6640625" style="13" bestFit="1" customWidth="1"/>
    <col min="10501" max="10501" width="11.88671875" style="13" customWidth="1"/>
    <col min="10502" max="10502" width="20.6640625" style="13" customWidth="1"/>
    <col min="10503" max="10503" width="15.6640625" style="13" customWidth="1"/>
    <col min="10504" max="10505" width="16.109375" style="13" bestFit="1" customWidth="1"/>
    <col min="10506" max="10506" width="13.6640625" style="13" customWidth="1"/>
    <col min="10507" max="10507" width="12.6640625" style="13" bestFit="1" customWidth="1"/>
    <col min="10508" max="10508" width="15.5546875" style="13" customWidth="1"/>
    <col min="10509" max="10509" width="16.109375" style="13" bestFit="1" customWidth="1"/>
    <col min="10510" max="10510" width="13.33203125" style="13" bestFit="1" customWidth="1"/>
    <col min="10511" max="10511" width="16.33203125" style="13" bestFit="1" customWidth="1"/>
    <col min="10512" max="10512" width="9.33203125" style="13" bestFit="1" customWidth="1"/>
    <col min="10513" max="10513" width="13" style="13" bestFit="1" customWidth="1"/>
    <col min="10514" max="10514" width="20.109375" style="13" bestFit="1" customWidth="1"/>
    <col min="10515" max="10515" width="50.33203125" style="13" bestFit="1" customWidth="1"/>
    <col min="10516" max="10516" width="16.109375" style="13" bestFit="1" customWidth="1"/>
    <col min="10517" max="10517" width="12.33203125" style="13" customWidth="1"/>
    <col min="10518" max="10518" width="18.88671875" style="13" bestFit="1" customWidth="1"/>
    <col min="10519" max="10519" width="16.6640625" style="13" customWidth="1"/>
    <col min="10520" max="10520" width="19" style="13" bestFit="1" customWidth="1"/>
    <col min="10521" max="10521" width="9.109375" style="13"/>
    <col min="10522" max="10522" width="18.88671875" style="13" bestFit="1" customWidth="1"/>
    <col min="10523" max="10752" width="9.109375" style="13"/>
    <col min="10753" max="10753" width="10.5546875" style="13" bestFit="1" customWidth="1"/>
    <col min="10754" max="10754" width="44.109375" style="13" customWidth="1"/>
    <col min="10755" max="10755" width="14.6640625" style="13" customWidth="1"/>
    <col min="10756" max="10756" width="23.6640625" style="13" bestFit="1" customWidth="1"/>
    <col min="10757" max="10757" width="11.88671875" style="13" customWidth="1"/>
    <col min="10758" max="10758" width="20.6640625" style="13" customWidth="1"/>
    <col min="10759" max="10759" width="15.6640625" style="13" customWidth="1"/>
    <col min="10760" max="10761" width="16.109375" style="13" bestFit="1" customWidth="1"/>
    <col min="10762" max="10762" width="13.6640625" style="13" customWidth="1"/>
    <col min="10763" max="10763" width="12.6640625" style="13" bestFit="1" customWidth="1"/>
    <col min="10764" max="10764" width="15.5546875" style="13" customWidth="1"/>
    <col min="10765" max="10765" width="16.109375" style="13" bestFit="1" customWidth="1"/>
    <col min="10766" max="10766" width="13.33203125" style="13" bestFit="1" customWidth="1"/>
    <col min="10767" max="10767" width="16.33203125" style="13" bestFit="1" customWidth="1"/>
    <col min="10768" max="10768" width="9.33203125" style="13" bestFit="1" customWidth="1"/>
    <col min="10769" max="10769" width="13" style="13" bestFit="1" customWidth="1"/>
    <col min="10770" max="10770" width="20.109375" style="13" bestFit="1" customWidth="1"/>
    <col min="10771" max="10771" width="50.33203125" style="13" bestFit="1" customWidth="1"/>
    <col min="10772" max="10772" width="16.109375" style="13" bestFit="1" customWidth="1"/>
    <col min="10773" max="10773" width="12.33203125" style="13" customWidth="1"/>
    <col min="10774" max="10774" width="18.88671875" style="13" bestFit="1" customWidth="1"/>
    <col min="10775" max="10775" width="16.6640625" style="13" customWidth="1"/>
    <col min="10776" max="10776" width="19" style="13" bestFit="1" customWidth="1"/>
    <col min="10777" max="10777" width="9.109375" style="13"/>
    <col min="10778" max="10778" width="18.88671875" style="13" bestFit="1" customWidth="1"/>
    <col min="10779" max="11008" width="9.109375" style="13"/>
    <col min="11009" max="11009" width="10.5546875" style="13" bestFit="1" customWidth="1"/>
    <col min="11010" max="11010" width="44.109375" style="13" customWidth="1"/>
    <col min="11011" max="11011" width="14.6640625" style="13" customWidth="1"/>
    <col min="11012" max="11012" width="23.6640625" style="13" bestFit="1" customWidth="1"/>
    <col min="11013" max="11013" width="11.88671875" style="13" customWidth="1"/>
    <col min="11014" max="11014" width="20.6640625" style="13" customWidth="1"/>
    <col min="11015" max="11015" width="15.6640625" style="13" customWidth="1"/>
    <col min="11016" max="11017" width="16.109375" style="13" bestFit="1" customWidth="1"/>
    <col min="11018" max="11018" width="13.6640625" style="13" customWidth="1"/>
    <col min="11019" max="11019" width="12.6640625" style="13" bestFit="1" customWidth="1"/>
    <col min="11020" max="11020" width="15.5546875" style="13" customWidth="1"/>
    <col min="11021" max="11021" width="16.109375" style="13" bestFit="1" customWidth="1"/>
    <col min="11022" max="11022" width="13.33203125" style="13" bestFit="1" customWidth="1"/>
    <col min="11023" max="11023" width="16.33203125" style="13" bestFit="1" customWidth="1"/>
    <col min="11024" max="11024" width="9.33203125" style="13" bestFit="1" customWidth="1"/>
    <col min="11025" max="11025" width="13" style="13" bestFit="1" customWidth="1"/>
    <col min="11026" max="11026" width="20.109375" style="13" bestFit="1" customWidth="1"/>
    <col min="11027" max="11027" width="50.33203125" style="13" bestFit="1" customWidth="1"/>
    <col min="11028" max="11028" width="16.109375" style="13" bestFit="1" customWidth="1"/>
    <col min="11029" max="11029" width="12.33203125" style="13" customWidth="1"/>
    <col min="11030" max="11030" width="18.88671875" style="13" bestFit="1" customWidth="1"/>
    <col min="11031" max="11031" width="16.6640625" style="13" customWidth="1"/>
    <col min="11032" max="11032" width="19" style="13" bestFit="1" customWidth="1"/>
    <col min="11033" max="11033" width="9.109375" style="13"/>
    <col min="11034" max="11034" width="18.88671875" style="13" bestFit="1" customWidth="1"/>
    <col min="11035" max="11264" width="9.109375" style="13"/>
    <col min="11265" max="11265" width="10.5546875" style="13" bestFit="1" customWidth="1"/>
    <col min="11266" max="11266" width="44.109375" style="13" customWidth="1"/>
    <col min="11267" max="11267" width="14.6640625" style="13" customWidth="1"/>
    <col min="11268" max="11268" width="23.6640625" style="13" bestFit="1" customWidth="1"/>
    <col min="11269" max="11269" width="11.88671875" style="13" customWidth="1"/>
    <col min="11270" max="11270" width="20.6640625" style="13" customWidth="1"/>
    <col min="11271" max="11271" width="15.6640625" style="13" customWidth="1"/>
    <col min="11272" max="11273" width="16.109375" style="13" bestFit="1" customWidth="1"/>
    <col min="11274" max="11274" width="13.6640625" style="13" customWidth="1"/>
    <col min="11275" max="11275" width="12.6640625" style="13" bestFit="1" customWidth="1"/>
    <col min="11276" max="11276" width="15.5546875" style="13" customWidth="1"/>
    <col min="11277" max="11277" width="16.109375" style="13" bestFit="1" customWidth="1"/>
    <col min="11278" max="11278" width="13.33203125" style="13" bestFit="1" customWidth="1"/>
    <col min="11279" max="11279" width="16.33203125" style="13" bestFit="1" customWidth="1"/>
    <col min="11280" max="11280" width="9.33203125" style="13" bestFit="1" customWidth="1"/>
    <col min="11281" max="11281" width="13" style="13" bestFit="1" customWidth="1"/>
    <col min="11282" max="11282" width="20.109375" style="13" bestFit="1" customWidth="1"/>
    <col min="11283" max="11283" width="50.33203125" style="13" bestFit="1" customWidth="1"/>
    <col min="11284" max="11284" width="16.109375" style="13" bestFit="1" customWidth="1"/>
    <col min="11285" max="11285" width="12.33203125" style="13" customWidth="1"/>
    <col min="11286" max="11286" width="18.88671875" style="13" bestFit="1" customWidth="1"/>
    <col min="11287" max="11287" width="16.6640625" style="13" customWidth="1"/>
    <col min="11288" max="11288" width="19" style="13" bestFit="1" customWidth="1"/>
    <col min="11289" max="11289" width="9.109375" style="13"/>
    <col min="11290" max="11290" width="18.88671875" style="13" bestFit="1" customWidth="1"/>
    <col min="11291" max="11520" width="9.109375" style="13"/>
    <col min="11521" max="11521" width="10.5546875" style="13" bestFit="1" customWidth="1"/>
    <col min="11522" max="11522" width="44.109375" style="13" customWidth="1"/>
    <col min="11523" max="11523" width="14.6640625" style="13" customWidth="1"/>
    <col min="11524" max="11524" width="23.6640625" style="13" bestFit="1" customWidth="1"/>
    <col min="11525" max="11525" width="11.88671875" style="13" customWidth="1"/>
    <col min="11526" max="11526" width="20.6640625" style="13" customWidth="1"/>
    <col min="11527" max="11527" width="15.6640625" style="13" customWidth="1"/>
    <col min="11528" max="11529" width="16.109375" style="13" bestFit="1" customWidth="1"/>
    <col min="11530" max="11530" width="13.6640625" style="13" customWidth="1"/>
    <col min="11531" max="11531" width="12.6640625" style="13" bestFit="1" customWidth="1"/>
    <col min="11532" max="11532" width="15.5546875" style="13" customWidth="1"/>
    <col min="11533" max="11533" width="16.109375" style="13" bestFit="1" customWidth="1"/>
    <col min="11534" max="11534" width="13.33203125" style="13" bestFit="1" customWidth="1"/>
    <col min="11535" max="11535" width="16.33203125" style="13" bestFit="1" customWidth="1"/>
    <col min="11536" max="11536" width="9.33203125" style="13" bestFit="1" customWidth="1"/>
    <col min="11537" max="11537" width="13" style="13" bestFit="1" customWidth="1"/>
    <col min="11538" max="11538" width="20.109375" style="13" bestFit="1" customWidth="1"/>
    <col min="11539" max="11539" width="50.33203125" style="13" bestFit="1" customWidth="1"/>
    <col min="11540" max="11540" width="16.109375" style="13" bestFit="1" customWidth="1"/>
    <col min="11541" max="11541" width="12.33203125" style="13" customWidth="1"/>
    <col min="11542" max="11542" width="18.88671875" style="13" bestFit="1" customWidth="1"/>
    <col min="11543" max="11543" width="16.6640625" style="13" customWidth="1"/>
    <col min="11544" max="11544" width="19" style="13" bestFit="1" customWidth="1"/>
    <col min="11545" max="11545" width="9.109375" style="13"/>
    <col min="11546" max="11546" width="18.88671875" style="13" bestFit="1" customWidth="1"/>
    <col min="11547" max="11776" width="9.109375" style="13"/>
    <col min="11777" max="11777" width="10.5546875" style="13" bestFit="1" customWidth="1"/>
    <col min="11778" max="11778" width="44.109375" style="13" customWidth="1"/>
    <col min="11779" max="11779" width="14.6640625" style="13" customWidth="1"/>
    <col min="11780" max="11780" width="23.6640625" style="13" bestFit="1" customWidth="1"/>
    <col min="11781" max="11781" width="11.88671875" style="13" customWidth="1"/>
    <col min="11782" max="11782" width="20.6640625" style="13" customWidth="1"/>
    <col min="11783" max="11783" width="15.6640625" style="13" customWidth="1"/>
    <col min="11784" max="11785" width="16.109375" style="13" bestFit="1" customWidth="1"/>
    <col min="11786" max="11786" width="13.6640625" style="13" customWidth="1"/>
    <col min="11787" max="11787" width="12.6640625" style="13" bestFit="1" customWidth="1"/>
    <col min="11788" max="11788" width="15.5546875" style="13" customWidth="1"/>
    <col min="11789" max="11789" width="16.109375" style="13" bestFit="1" customWidth="1"/>
    <col min="11790" max="11790" width="13.33203125" style="13" bestFit="1" customWidth="1"/>
    <col min="11791" max="11791" width="16.33203125" style="13" bestFit="1" customWidth="1"/>
    <col min="11792" max="11792" width="9.33203125" style="13" bestFit="1" customWidth="1"/>
    <col min="11793" max="11793" width="13" style="13" bestFit="1" customWidth="1"/>
    <col min="11794" max="11794" width="20.109375" style="13" bestFit="1" customWidth="1"/>
    <col min="11795" max="11795" width="50.33203125" style="13" bestFit="1" customWidth="1"/>
    <col min="11796" max="11796" width="16.109375" style="13" bestFit="1" customWidth="1"/>
    <col min="11797" max="11797" width="12.33203125" style="13" customWidth="1"/>
    <col min="11798" max="11798" width="18.88671875" style="13" bestFit="1" customWidth="1"/>
    <col min="11799" max="11799" width="16.6640625" style="13" customWidth="1"/>
    <col min="11800" max="11800" width="19" style="13" bestFit="1" customWidth="1"/>
    <col min="11801" max="11801" width="9.109375" style="13"/>
    <col min="11802" max="11802" width="18.88671875" style="13" bestFit="1" customWidth="1"/>
    <col min="11803" max="12032" width="9.109375" style="13"/>
    <col min="12033" max="12033" width="10.5546875" style="13" bestFit="1" customWidth="1"/>
    <col min="12034" max="12034" width="44.109375" style="13" customWidth="1"/>
    <col min="12035" max="12035" width="14.6640625" style="13" customWidth="1"/>
    <col min="12036" max="12036" width="23.6640625" style="13" bestFit="1" customWidth="1"/>
    <col min="12037" max="12037" width="11.88671875" style="13" customWidth="1"/>
    <col min="12038" max="12038" width="20.6640625" style="13" customWidth="1"/>
    <col min="12039" max="12039" width="15.6640625" style="13" customWidth="1"/>
    <col min="12040" max="12041" width="16.109375" style="13" bestFit="1" customWidth="1"/>
    <col min="12042" max="12042" width="13.6640625" style="13" customWidth="1"/>
    <col min="12043" max="12043" width="12.6640625" style="13" bestFit="1" customWidth="1"/>
    <col min="12044" max="12044" width="15.5546875" style="13" customWidth="1"/>
    <col min="12045" max="12045" width="16.109375" style="13" bestFit="1" customWidth="1"/>
    <col min="12046" max="12046" width="13.33203125" style="13" bestFit="1" customWidth="1"/>
    <col min="12047" max="12047" width="16.33203125" style="13" bestFit="1" customWidth="1"/>
    <col min="12048" max="12048" width="9.33203125" style="13" bestFit="1" customWidth="1"/>
    <col min="12049" max="12049" width="13" style="13" bestFit="1" customWidth="1"/>
    <col min="12050" max="12050" width="20.109375" style="13" bestFit="1" customWidth="1"/>
    <col min="12051" max="12051" width="50.33203125" style="13" bestFit="1" customWidth="1"/>
    <col min="12052" max="12052" width="16.109375" style="13" bestFit="1" customWidth="1"/>
    <col min="12053" max="12053" width="12.33203125" style="13" customWidth="1"/>
    <col min="12054" max="12054" width="18.88671875" style="13" bestFit="1" customWidth="1"/>
    <col min="12055" max="12055" width="16.6640625" style="13" customWidth="1"/>
    <col min="12056" max="12056" width="19" style="13" bestFit="1" customWidth="1"/>
    <col min="12057" max="12057" width="9.109375" style="13"/>
    <col min="12058" max="12058" width="18.88671875" style="13" bestFit="1" customWidth="1"/>
    <col min="12059" max="12288" width="9.109375" style="13"/>
    <col min="12289" max="12289" width="10.5546875" style="13" bestFit="1" customWidth="1"/>
    <col min="12290" max="12290" width="44.109375" style="13" customWidth="1"/>
    <col min="12291" max="12291" width="14.6640625" style="13" customWidth="1"/>
    <col min="12292" max="12292" width="23.6640625" style="13" bestFit="1" customWidth="1"/>
    <col min="12293" max="12293" width="11.88671875" style="13" customWidth="1"/>
    <col min="12294" max="12294" width="20.6640625" style="13" customWidth="1"/>
    <col min="12295" max="12295" width="15.6640625" style="13" customWidth="1"/>
    <col min="12296" max="12297" width="16.109375" style="13" bestFit="1" customWidth="1"/>
    <col min="12298" max="12298" width="13.6640625" style="13" customWidth="1"/>
    <col min="12299" max="12299" width="12.6640625" style="13" bestFit="1" customWidth="1"/>
    <col min="12300" max="12300" width="15.5546875" style="13" customWidth="1"/>
    <col min="12301" max="12301" width="16.109375" style="13" bestFit="1" customWidth="1"/>
    <col min="12302" max="12302" width="13.33203125" style="13" bestFit="1" customWidth="1"/>
    <col min="12303" max="12303" width="16.33203125" style="13" bestFit="1" customWidth="1"/>
    <col min="12304" max="12304" width="9.33203125" style="13" bestFit="1" customWidth="1"/>
    <col min="12305" max="12305" width="13" style="13" bestFit="1" customWidth="1"/>
    <col min="12306" max="12306" width="20.109375" style="13" bestFit="1" customWidth="1"/>
    <col min="12307" max="12307" width="50.33203125" style="13" bestFit="1" customWidth="1"/>
    <col min="12308" max="12308" width="16.109375" style="13" bestFit="1" customWidth="1"/>
    <col min="12309" max="12309" width="12.33203125" style="13" customWidth="1"/>
    <col min="12310" max="12310" width="18.88671875" style="13" bestFit="1" customWidth="1"/>
    <col min="12311" max="12311" width="16.6640625" style="13" customWidth="1"/>
    <col min="12312" max="12312" width="19" style="13" bestFit="1" customWidth="1"/>
    <col min="12313" max="12313" width="9.109375" style="13"/>
    <col min="12314" max="12314" width="18.88671875" style="13" bestFit="1" customWidth="1"/>
    <col min="12315" max="12544" width="9.109375" style="13"/>
    <col min="12545" max="12545" width="10.5546875" style="13" bestFit="1" customWidth="1"/>
    <col min="12546" max="12546" width="44.109375" style="13" customWidth="1"/>
    <col min="12547" max="12547" width="14.6640625" style="13" customWidth="1"/>
    <col min="12548" max="12548" width="23.6640625" style="13" bestFit="1" customWidth="1"/>
    <col min="12549" max="12549" width="11.88671875" style="13" customWidth="1"/>
    <col min="12550" max="12550" width="20.6640625" style="13" customWidth="1"/>
    <col min="12551" max="12551" width="15.6640625" style="13" customWidth="1"/>
    <col min="12552" max="12553" width="16.109375" style="13" bestFit="1" customWidth="1"/>
    <col min="12554" max="12554" width="13.6640625" style="13" customWidth="1"/>
    <col min="12555" max="12555" width="12.6640625" style="13" bestFit="1" customWidth="1"/>
    <col min="12556" max="12556" width="15.5546875" style="13" customWidth="1"/>
    <col min="12557" max="12557" width="16.109375" style="13" bestFit="1" customWidth="1"/>
    <col min="12558" max="12558" width="13.33203125" style="13" bestFit="1" customWidth="1"/>
    <col min="12559" max="12559" width="16.33203125" style="13" bestFit="1" customWidth="1"/>
    <col min="12560" max="12560" width="9.33203125" style="13" bestFit="1" customWidth="1"/>
    <col min="12561" max="12561" width="13" style="13" bestFit="1" customWidth="1"/>
    <col min="12562" max="12562" width="20.109375" style="13" bestFit="1" customWidth="1"/>
    <col min="12563" max="12563" width="50.33203125" style="13" bestFit="1" customWidth="1"/>
    <col min="12564" max="12564" width="16.109375" style="13" bestFit="1" customWidth="1"/>
    <col min="12565" max="12565" width="12.33203125" style="13" customWidth="1"/>
    <col min="12566" max="12566" width="18.88671875" style="13" bestFit="1" customWidth="1"/>
    <col min="12567" max="12567" width="16.6640625" style="13" customWidth="1"/>
    <col min="12568" max="12568" width="19" style="13" bestFit="1" customWidth="1"/>
    <col min="12569" max="12569" width="9.109375" style="13"/>
    <col min="12570" max="12570" width="18.88671875" style="13" bestFit="1" customWidth="1"/>
    <col min="12571" max="12800" width="9.109375" style="13"/>
    <col min="12801" max="12801" width="10.5546875" style="13" bestFit="1" customWidth="1"/>
    <col min="12802" max="12802" width="44.109375" style="13" customWidth="1"/>
    <col min="12803" max="12803" width="14.6640625" style="13" customWidth="1"/>
    <col min="12804" max="12804" width="23.6640625" style="13" bestFit="1" customWidth="1"/>
    <col min="12805" max="12805" width="11.88671875" style="13" customWidth="1"/>
    <col min="12806" max="12806" width="20.6640625" style="13" customWidth="1"/>
    <col min="12807" max="12807" width="15.6640625" style="13" customWidth="1"/>
    <col min="12808" max="12809" width="16.109375" style="13" bestFit="1" customWidth="1"/>
    <col min="12810" max="12810" width="13.6640625" style="13" customWidth="1"/>
    <col min="12811" max="12811" width="12.6640625" style="13" bestFit="1" customWidth="1"/>
    <col min="12812" max="12812" width="15.5546875" style="13" customWidth="1"/>
    <col min="12813" max="12813" width="16.109375" style="13" bestFit="1" customWidth="1"/>
    <col min="12814" max="12814" width="13.33203125" style="13" bestFit="1" customWidth="1"/>
    <col min="12815" max="12815" width="16.33203125" style="13" bestFit="1" customWidth="1"/>
    <col min="12816" max="12816" width="9.33203125" style="13" bestFit="1" customWidth="1"/>
    <col min="12817" max="12817" width="13" style="13" bestFit="1" customWidth="1"/>
    <col min="12818" max="12818" width="20.109375" style="13" bestFit="1" customWidth="1"/>
    <col min="12819" max="12819" width="50.33203125" style="13" bestFit="1" customWidth="1"/>
    <col min="12820" max="12820" width="16.109375" style="13" bestFit="1" customWidth="1"/>
    <col min="12821" max="12821" width="12.33203125" style="13" customWidth="1"/>
    <col min="12822" max="12822" width="18.88671875" style="13" bestFit="1" customWidth="1"/>
    <col min="12823" max="12823" width="16.6640625" style="13" customWidth="1"/>
    <col min="12824" max="12824" width="19" style="13" bestFit="1" customWidth="1"/>
    <col min="12825" max="12825" width="9.109375" style="13"/>
    <col min="12826" max="12826" width="18.88671875" style="13" bestFit="1" customWidth="1"/>
    <col min="12827" max="13056" width="9.109375" style="13"/>
    <col min="13057" max="13057" width="10.5546875" style="13" bestFit="1" customWidth="1"/>
    <col min="13058" max="13058" width="44.109375" style="13" customWidth="1"/>
    <col min="13059" max="13059" width="14.6640625" style="13" customWidth="1"/>
    <col min="13060" max="13060" width="23.6640625" style="13" bestFit="1" customWidth="1"/>
    <col min="13061" max="13061" width="11.88671875" style="13" customWidth="1"/>
    <col min="13062" max="13062" width="20.6640625" style="13" customWidth="1"/>
    <col min="13063" max="13063" width="15.6640625" style="13" customWidth="1"/>
    <col min="13064" max="13065" width="16.109375" style="13" bestFit="1" customWidth="1"/>
    <col min="13066" max="13066" width="13.6640625" style="13" customWidth="1"/>
    <col min="13067" max="13067" width="12.6640625" style="13" bestFit="1" customWidth="1"/>
    <col min="13068" max="13068" width="15.5546875" style="13" customWidth="1"/>
    <col min="13069" max="13069" width="16.109375" style="13" bestFit="1" customWidth="1"/>
    <col min="13070" max="13070" width="13.33203125" style="13" bestFit="1" customWidth="1"/>
    <col min="13071" max="13071" width="16.33203125" style="13" bestFit="1" customWidth="1"/>
    <col min="13072" max="13072" width="9.33203125" style="13" bestFit="1" customWidth="1"/>
    <col min="13073" max="13073" width="13" style="13" bestFit="1" customWidth="1"/>
    <col min="13074" max="13074" width="20.109375" style="13" bestFit="1" customWidth="1"/>
    <col min="13075" max="13075" width="50.33203125" style="13" bestFit="1" customWidth="1"/>
    <col min="13076" max="13076" width="16.109375" style="13" bestFit="1" customWidth="1"/>
    <col min="13077" max="13077" width="12.33203125" style="13" customWidth="1"/>
    <col min="13078" max="13078" width="18.88671875" style="13" bestFit="1" customWidth="1"/>
    <col min="13079" max="13079" width="16.6640625" style="13" customWidth="1"/>
    <col min="13080" max="13080" width="19" style="13" bestFit="1" customWidth="1"/>
    <col min="13081" max="13081" width="9.109375" style="13"/>
    <col min="13082" max="13082" width="18.88671875" style="13" bestFit="1" customWidth="1"/>
    <col min="13083" max="13312" width="9.109375" style="13"/>
    <col min="13313" max="13313" width="10.5546875" style="13" bestFit="1" customWidth="1"/>
    <col min="13314" max="13314" width="44.109375" style="13" customWidth="1"/>
    <col min="13315" max="13315" width="14.6640625" style="13" customWidth="1"/>
    <col min="13316" max="13316" width="23.6640625" style="13" bestFit="1" customWidth="1"/>
    <col min="13317" max="13317" width="11.88671875" style="13" customWidth="1"/>
    <col min="13318" max="13318" width="20.6640625" style="13" customWidth="1"/>
    <col min="13319" max="13319" width="15.6640625" style="13" customWidth="1"/>
    <col min="13320" max="13321" width="16.109375" style="13" bestFit="1" customWidth="1"/>
    <col min="13322" max="13322" width="13.6640625" style="13" customWidth="1"/>
    <col min="13323" max="13323" width="12.6640625" style="13" bestFit="1" customWidth="1"/>
    <col min="13324" max="13324" width="15.5546875" style="13" customWidth="1"/>
    <col min="13325" max="13325" width="16.109375" style="13" bestFit="1" customWidth="1"/>
    <col min="13326" max="13326" width="13.33203125" style="13" bestFit="1" customWidth="1"/>
    <col min="13327" max="13327" width="16.33203125" style="13" bestFit="1" customWidth="1"/>
    <col min="13328" max="13328" width="9.33203125" style="13" bestFit="1" customWidth="1"/>
    <col min="13329" max="13329" width="13" style="13" bestFit="1" customWidth="1"/>
    <col min="13330" max="13330" width="20.109375" style="13" bestFit="1" customWidth="1"/>
    <col min="13331" max="13331" width="50.33203125" style="13" bestFit="1" customWidth="1"/>
    <col min="13332" max="13332" width="16.109375" style="13" bestFit="1" customWidth="1"/>
    <col min="13333" max="13333" width="12.33203125" style="13" customWidth="1"/>
    <col min="13334" max="13334" width="18.88671875" style="13" bestFit="1" customWidth="1"/>
    <col min="13335" max="13335" width="16.6640625" style="13" customWidth="1"/>
    <col min="13336" max="13336" width="19" style="13" bestFit="1" customWidth="1"/>
    <col min="13337" max="13337" width="9.109375" style="13"/>
    <col min="13338" max="13338" width="18.88671875" style="13" bestFit="1" customWidth="1"/>
    <col min="13339" max="13568" width="9.109375" style="13"/>
    <col min="13569" max="13569" width="10.5546875" style="13" bestFit="1" customWidth="1"/>
    <col min="13570" max="13570" width="44.109375" style="13" customWidth="1"/>
    <col min="13571" max="13571" width="14.6640625" style="13" customWidth="1"/>
    <col min="13572" max="13572" width="23.6640625" style="13" bestFit="1" customWidth="1"/>
    <col min="13573" max="13573" width="11.88671875" style="13" customWidth="1"/>
    <col min="13574" max="13574" width="20.6640625" style="13" customWidth="1"/>
    <col min="13575" max="13575" width="15.6640625" style="13" customWidth="1"/>
    <col min="13576" max="13577" width="16.109375" style="13" bestFit="1" customWidth="1"/>
    <col min="13578" max="13578" width="13.6640625" style="13" customWidth="1"/>
    <col min="13579" max="13579" width="12.6640625" style="13" bestFit="1" customWidth="1"/>
    <col min="13580" max="13580" width="15.5546875" style="13" customWidth="1"/>
    <col min="13581" max="13581" width="16.109375" style="13" bestFit="1" customWidth="1"/>
    <col min="13582" max="13582" width="13.33203125" style="13" bestFit="1" customWidth="1"/>
    <col min="13583" max="13583" width="16.33203125" style="13" bestFit="1" customWidth="1"/>
    <col min="13584" max="13584" width="9.33203125" style="13" bestFit="1" customWidth="1"/>
    <col min="13585" max="13585" width="13" style="13" bestFit="1" customWidth="1"/>
    <col min="13586" max="13586" width="20.109375" style="13" bestFit="1" customWidth="1"/>
    <col min="13587" max="13587" width="50.33203125" style="13" bestFit="1" customWidth="1"/>
    <col min="13588" max="13588" width="16.109375" style="13" bestFit="1" customWidth="1"/>
    <col min="13589" max="13589" width="12.33203125" style="13" customWidth="1"/>
    <col min="13590" max="13590" width="18.88671875" style="13" bestFit="1" customWidth="1"/>
    <col min="13591" max="13591" width="16.6640625" style="13" customWidth="1"/>
    <col min="13592" max="13592" width="19" style="13" bestFit="1" customWidth="1"/>
    <col min="13593" max="13593" width="9.109375" style="13"/>
    <col min="13594" max="13594" width="18.88671875" style="13" bestFit="1" customWidth="1"/>
    <col min="13595" max="13824" width="9.109375" style="13"/>
    <col min="13825" max="13825" width="10.5546875" style="13" bestFit="1" customWidth="1"/>
    <col min="13826" max="13826" width="44.109375" style="13" customWidth="1"/>
    <col min="13827" max="13827" width="14.6640625" style="13" customWidth="1"/>
    <col min="13828" max="13828" width="23.6640625" style="13" bestFit="1" customWidth="1"/>
    <col min="13829" max="13829" width="11.88671875" style="13" customWidth="1"/>
    <col min="13830" max="13830" width="20.6640625" style="13" customWidth="1"/>
    <col min="13831" max="13831" width="15.6640625" style="13" customWidth="1"/>
    <col min="13832" max="13833" width="16.109375" style="13" bestFit="1" customWidth="1"/>
    <col min="13834" max="13834" width="13.6640625" style="13" customWidth="1"/>
    <col min="13835" max="13835" width="12.6640625" style="13" bestFit="1" customWidth="1"/>
    <col min="13836" max="13836" width="15.5546875" style="13" customWidth="1"/>
    <col min="13837" max="13837" width="16.109375" style="13" bestFit="1" customWidth="1"/>
    <col min="13838" max="13838" width="13.33203125" style="13" bestFit="1" customWidth="1"/>
    <col min="13839" max="13839" width="16.33203125" style="13" bestFit="1" customWidth="1"/>
    <col min="13840" max="13840" width="9.33203125" style="13" bestFit="1" customWidth="1"/>
    <col min="13841" max="13841" width="13" style="13" bestFit="1" customWidth="1"/>
    <col min="13842" max="13842" width="20.109375" style="13" bestFit="1" customWidth="1"/>
    <col min="13843" max="13843" width="50.33203125" style="13" bestFit="1" customWidth="1"/>
    <col min="13844" max="13844" width="16.109375" style="13" bestFit="1" customWidth="1"/>
    <col min="13845" max="13845" width="12.33203125" style="13" customWidth="1"/>
    <col min="13846" max="13846" width="18.88671875" style="13" bestFit="1" customWidth="1"/>
    <col min="13847" max="13847" width="16.6640625" style="13" customWidth="1"/>
    <col min="13848" max="13848" width="19" style="13" bestFit="1" customWidth="1"/>
    <col min="13849" max="13849" width="9.109375" style="13"/>
    <col min="13850" max="13850" width="18.88671875" style="13" bestFit="1" customWidth="1"/>
    <col min="13851" max="14080" width="9.109375" style="13"/>
    <col min="14081" max="14081" width="10.5546875" style="13" bestFit="1" customWidth="1"/>
    <col min="14082" max="14082" width="44.109375" style="13" customWidth="1"/>
    <col min="14083" max="14083" width="14.6640625" style="13" customWidth="1"/>
    <col min="14084" max="14084" width="23.6640625" style="13" bestFit="1" customWidth="1"/>
    <col min="14085" max="14085" width="11.88671875" style="13" customWidth="1"/>
    <col min="14086" max="14086" width="20.6640625" style="13" customWidth="1"/>
    <col min="14087" max="14087" width="15.6640625" style="13" customWidth="1"/>
    <col min="14088" max="14089" width="16.109375" style="13" bestFit="1" customWidth="1"/>
    <col min="14090" max="14090" width="13.6640625" style="13" customWidth="1"/>
    <col min="14091" max="14091" width="12.6640625" style="13" bestFit="1" customWidth="1"/>
    <col min="14092" max="14092" width="15.5546875" style="13" customWidth="1"/>
    <col min="14093" max="14093" width="16.109375" style="13" bestFit="1" customWidth="1"/>
    <col min="14094" max="14094" width="13.33203125" style="13" bestFit="1" customWidth="1"/>
    <col min="14095" max="14095" width="16.33203125" style="13" bestFit="1" customWidth="1"/>
    <col min="14096" max="14096" width="9.33203125" style="13" bestFit="1" customWidth="1"/>
    <col min="14097" max="14097" width="13" style="13" bestFit="1" customWidth="1"/>
    <col min="14098" max="14098" width="20.109375" style="13" bestFit="1" customWidth="1"/>
    <col min="14099" max="14099" width="50.33203125" style="13" bestFit="1" customWidth="1"/>
    <col min="14100" max="14100" width="16.109375" style="13" bestFit="1" customWidth="1"/>
    <col min="14101" max="14101" width="12.33203125" style="13" customWidth="1"/>
    <col min="14102" max="14102" width="18.88671875" style="13" bestFit="1" customWidth="1"/>
    <col min="14103" max="14103" width="16.6640625" style="13" customWidth="1"/>
    <col min="14104" max="14104" width="19" style="13" bestFit="1" customWidth="1"/>
    <col min="14105" max="14105" width="9.109375" style="13"/>
    <col min="14106" max="14106" width="18.88671875" style="13" bestFit="1" customWidth="1"/>
    <col min="14107" max="14336" width="9.109375" style="13"/>
    <col min="14337" max="14337" width="10.5546875" style="13" bestFit="1" customWidth="1"/>
    <col min="14338" max="14338" width="44.109375" style="13" customWidth="1"/>
    <col min="14339" max="14339" width="14.6640625" style="13" customWidth="1"/>
    <col min="14340" max="14340" width="23.6640625" style="13" bestFit="1" customWidth="1"/>
    <col min="14341" max="14341" width="11.88671875" style="13" customWidth="1"/>
    <col min="14342" max="14342" width="20.6640625" style="13" customWidth="1"/>
    <col min="14343" max="14343" width="15.6640625" style="13" customWidth="1"/>
    <col min="14344" max="14345" width="16.109375" style="13" bestFit="1" customWidth="1"/>
    <col min="14346" max="14346" width="13.6640625" style="13" customWidth="1"/>
    <col min="14347" max="14347" width="12.6640625" style="13" bestFit="1" customWidth="1"/>
    <col min="14348" max="14348" width="15.5546875" style="13" customWidth="1"/>
    <col min="14349" max="14349" width="16.109375" style="13" bestFit="1" customWidth="1"/>
    <col min="14350" max="14350" width="13.33203125" style="13" bestFit="1" customWidth="1"/>
    <col min="14351" max="14351" width="16.33203125" style="13" bestFit="1" customWidth="1"/>
    <col min="14352" max="14352" width="9.33203125" style="13" bestFit="1" customWidth="1"/>
    <col min="14353" max="14353" width="13" style="13" bestFit="1" customWidth="1"/>
    <col min="14354" max="14354" width="20.109375" style="13" bestFit="1" customWidth="1"/>
    <col min="14355" max="14355" width="50.33203125" style="13" bestFit="1" customWidth="1"/>
    <col min="14356" max="14356" width="16.109375" style="13" bestFit="1" customWidth="1"/>
    <col min="14357" max="14357" width="12.33203125" style="13" customWidth="1"/>
    <col min="14358" max="14358" width="18.88671875" style="13" bestFit="1" customWidth="1"/>
    <col min="14359" max="14359" width="16.6640625" style="13" customWidth="1"/>
    <col min="14360" max="14360" width="19" style="13" bestFit="1" customWidth="1"/>
    <col min="14361" max="14361" width="9.109375" style="13"/>
    <col min="14362" max="14362" width="18.88671875" style="13" bestFit="1" customWidth="1"/>
    <col min="14363" max="14592" width="9.109375" style="13"/>
    <col min="14593" max="14593" width="10.5546875" style="13" bestFit="1" customWidth="1"/>
    <col min="14594" max="14594" width="44.109375" style="13" customWidth="1"/>
    <col min="14595" max="14595" width="14.6640625" style="13" customWidth="1"/>
    <col min="14596" max="14596" width="23.6640625" style="13" bestFit="1" customWidth="1"/>
    <col min="14597" max="14597" width="11.88671875" style="13" customWidth="1"/>
    <col min="14598" max="14598" width="20.6640625" style="13" customWidth="1"/>
    <col min="14599" max="14599" width="15.6640625" style="13" customWidth="1"/>
    <col min="14600" max="14601" width="16.109375" style="13" bestFit="1" customWidth="1"/>
    <col min="14602" max="14602" width="13.6640625" style="13" customWidth="1"/>
    <col min="14603" max="14603" width="12.6640625" style="13" bestFit="1" customWidth="1"/>
    <col min="14604" max="14604" width="15.5546875" style="13" customWidth="1"/>
    <col min="14605" max="14605" width="16.109375" style="13" bestFit="1" customWidth="1"/>
    <col min="14606" max="14606" width="13.33203125" style="13" bestFit="1" customWidth="1"/>
    <col min="14607" max="14607" width="16.33203125" style="13" bestFit="1" customWidth="1"/>
    <col min="14608" max="14608" width="9.33203125" style="13" bestFit="1" customWidth="1"/>
    <col min="14609" max="14609" width="13" style="13" bestFit="1" customWidth="1"/>
    <col min="14610" max="14610" width="20.109375" style="13" bestFit="1" customWidth="1"/>
    <col min="14611" max="14611" width="50.33203125" style="13" bestFit="1" customWidth="1"/>
    <col min="14612" max="14612" width="16.109375" style="13" bestFit="1" customWidth="1"/>
    <col min="14613" max="14613" width="12.33203125" style="13" customWidth="1"/>
    <col min="14614" max="14614" width="18.88671875" style="13" bestFit="1" customWidth="1"/>
    <col min="14615" max="14615" width="16.6640625" style="13" customWidth="1"/>
    <col min="14616" max="14616" width="19" style="13" bestFit="1" customWidth="1"/>
    <col min="14617" max="14617" width="9.109375" style="13"/>
    <col min="14618" max="14618" width="18.88671875" style="13" bestFit="1" customWidth="1"/>
    <col min="14619" max="14848" width="9.109375" style="13"/>
    <col min="14849" max="14849" width="10.5546875" style="13" bestFit="1" customWidth="1"/>
    <col min="14850" max="14850" width="44.109375" style="13" customWidth="1"/>
    <col min="14851" max="14851" width="14.6640625" style="13" customWidth="1"/>
    <col min="14852" max="14852" width="23.6640625" style="13" bestFit="1" customWidth="1"/>
    <col min="14853" max="14853" width="11.88671875" style="13" customWidth="1"/>
    <col min="14854" max="14854" width="20.6640625" style="13" customWidth="1"/>
    <col min="14855" max="14855" width="15.6640625" style="13" customWidth="1"/>
    <col min="14856" max="14857" width="16.109375" style="13" bestFit="1" customWidth="1"/>
    <col min="14858" max="14858" width="13.6640625" style="13" customWidth="1"/>
    <col min="14859" max="14859" width="12.6640625" style="13" bestFit="1" customWidth="1"/>
    <col min="14860" max="14860" width="15.5546875" style="13" customWidth="1"/>
    <col min="14861" max="14861" width="16.109375" style="13" bestFit="1" customWidth="1"/>
    <col min="14862" max="14862" width="13.33203125" style="13" bestFit="1" customWidth="1"/>
    <col min="14863" max="14863" width="16.33203125" style="13" bestFit="1" customWidth="1"/>
    <col min="14864" max="14864" width="9.33203125" style="13" bestFit="1" customWidth="1"/>
    <col min="14865" max="14865" width="13" style="13" bestFit="1" customWidth="1"/>
    <col min="14866" max="14866" width="20.109375" style="13" bestFit="1" customWidth="1"/>
    <col min="14867" max="14867" width="50.33203125" style="13" bestFit="1" customWidth="1"/>
    <col min="14868" max="14868" width="16.109375" style="13" bestFit="1" customWidth="1"/>
    <col min="14869" max="14869" width="12.33203125" style="13" customWidth="1"/>
    <col min="14870" max="14870" width="18.88671875" style="13" bestFit="1" customWidth="1"/>
    <col min="14871" max="14871" width="16.6640625" style="13" customWidth="1"/>
    <col min="14872" max="14872" width="19" style="13" bestFit="1" customWidth="1"/>
    <col min="14873" max="14873" width="9.109375" style="13"/>
    <col min="14874" max="14874" width="18.88671875" style="13" bestFit="1" customWidth="1"/>
    <col min="14875" max="15104" width="9.109375" style="13"/>
    <col min="15105" max="15105" width="10.5546875" style="13" bestFit="1" customWidth="1"/>
    <col min="15106" max="15106" width="44.109375" style="13" customWidth="1"/>
    <col min="15107" max="15107" width="14.6640625" style="13" customWidth="1"/>
    <col min="15108" max="15108" width="23.6640625" style="13" bestFit="1" customWidth="1"/>
    <col min="15109" max="15109" width="11.88671875" style="13" customWidth="1"/>
    <col min="15110" max="15110" width="20.6640625" style="13" customWidth="1"/>
    <col min="15111" max="15111" width="15.6640625" style="13" customWidth="1"/>
    <col min="15112" max="15113" width="16.109375" style="13" bestFit="1" customWidth="1"/>
    <col min="15114" max="15114" width="13.6640625" style="13" customWidth="1"/>
    <col min="15115" max="15115" width="12.6640625" style="13" bestFit="1" customWidth="1"/>
    <col min="15116" max="15116" width="15.5546875" style="13" customWidth="1"/>
    <col min="15117" max="15117" width="16.109375" style="13" bestFit="1" customWidth="1"/>
    <col min="15118" max="15118" width="13.33203125" style="13" bestFit="1" customWidth="1"/>
    <col min="15119" max="15119" width="16.33203125" style="13" bestFit="1" customWidth="1"/>
    <col min="15120" max="15120" width="9.33203125" style="13" bestFit="1" customWidth="1"/>
    <col min="15121" max="15121" width="13" style="13" bestFit="1" customWidth="1"/>
    <col min="15122" max="15122" width="20.109375" style="13" bestFit="1" customWidth="1"/>
    <col min="15123" max="15123" width="50.33203125" style="13" bestFit="1" customWidth="1"/>
    <col min="15124" max="15124" width="16.109375" style="13" bestFit="1" customWidth="1"/>
    <col min="15125" max="15125" width="12.33203125" style="13" customWidth="1"/>
    <col min="15126" max="15126" width="18.88671875" style="13" bestFit="1" customWidth="1"/>
    <col min="15127" max="15127" width="16.6640625" style="13" customWidth="1"/>
    <col min="15128" max="15128" width="19" style="13" bestFit="1" customWidth="1"/>
    <col min="15129" max="15129" width="9.109375" style="13"/>
    <col min="15130" max="15130" width="18.88671875" style="13" bestFit="1" customWidth="1"/>
    <col min="15131" max="15360" width="9.109375" style="13"/>
    <col min="15361" max="15361" width="10.5546875" style="13" bestFit="1" customWidth="1"/>
    <col min="15362" max="15362" width="44.109375" style="13" customWidth="1"/>
    <col min="15363" max="15363" width="14.6640625" style="13" customWidth="1"/>
    <col min="15364" max="15364" width="23.6640625" style="13" bestFit="1" customWidth="1"/>
    <col min="15365" max="15365" width="11.88671875" style="13" customWidth="1"/>
    <col min="15366" max="15366" width="20.6640625" style="13" customWidth="1"/>
    <col min="15367" max="15367" width="15.6640625" style="13" customWidth="1"/>
    <col min="15368" max="15369" width="16.109375" style="13" bestFit="1" customWidth="1"/>
    <col min="15370" max="15370" width="13.6640625" style="13" customWidth="1"/>
    <col min="15371" max="15371" width="12.6640625" style="13" bestFit="1" customWidth="1"/>
    <col min="15372" max="15372" width="15.5546875" style="13" customWidth="1"/>
    <col min="15373" max="15373" width="16.109375" style="13" bestFit="1" customWidth="1"/>
    <col min="15374" max="15374" width="13.33203125" style="13" bestFit="1" customWidth="1"/>
    <col min="15375" max="15375" width="16.33203125" style="13" bestFit="1" customWidth="1"/>
    <col min="15376" max="15376" width="9.33203125" style="13" bestFit="1" customWidth="1"/>
    <col min="15377" max="15377" width="13" style="13" bestFit="1" customWidth="1"/>
    <col min="15378" max="15378" width="20.109375" style="13" bestFit="1" customWidth="1"/>
    <col min="15379" max="15379" width="50.33203125" style="13" bestFit="1" customWidth="1"/>
    <col min="15380" max="15380" width="16.109375" style="13" bestFit="1" customWidth="1"/>
    <col min="15381" max="15381" width="12.33203125" style="13" customWidth="1"/>
    <col min="15382" max="15382" width="18.88671875" style="13" bestFit="1" customWidth="1"/>
    <col min="15383" max="15383" width="16.6640625" style="13" customWidth="1"/>
    <col min="15384" max="15384" width="19" style="13" bestFit="1" customWidth="1"/>
    <col min="15385" max="15385" width="9.109375" style="13"/>
    <col min="15386" max="15386" width="18.88671875" style="13" bestFit="1" customWidth="1"/>
    <col min="15387" max="15616" width="9.109375" style="13"/>
    <col min="15617" max="15617" width="10.5546875" style="13" bestFit="1" customWidth="1"/>
    <col min="15618" max="15618" width="44.109375" style="13" customWidth="1"/>
    <col min="15619" max="15619" width="14.6640625" style="13" customWidth="1"/>
    <col min="15620" max="15620" width="23.6640625" style="13" bestFit="1" customWidth="1"/>
    <col min="15621" max="15621" width="11.88671875" style="13" customWidth="1"/>
    <col min="15622" max="15622" width="20.6640625" style="13" customWidth="1"/>
    <col min="15623" max="15623" width="15.6640625" style="13" customWidth="1"/>
    <col min="15624" max="15625" width="16.109375" style="13" bestFit="1" customWidth="1"/>
    <col min="15626" max="15626" width="13.6640625" style="13" customWidth="1"/>
    <col min="15627" max="15627" width="12.6640625" style="13" bestFit="1" customWidth="1"/>
    <col min="15628" max="15628" width="15.5546875" style="13" customWidth="1"/>
    <col min="15629" max="15629" width="16.109375" style="13" bestFit="1" customWidth="1"/>
    <col min="15630" max="15630" width="13.33203125" style="13" bestFit="1" customWidth="1"/>
    <col min="15631" max="15631" width="16.33203125" style="13" bestFit="1" customWidth="1"/>
    <col min="15632" max="15632" width="9.33203125" style="13" bestFit="1" customWidth="1"/>
    <col min="15633" max="15633" width="13" style="13" bestFit="1" customWidth="1"/>
    <col min="15634" max="15634" width="20.109375" style="13" bestFit="1" customWidth="1"/>
    <col min="15635" max="15635" width="50.33203125" style="13" bestFit="1" customWidth="1"/>
    <col min="15636" max="15636" width="16.109375" style="13" bestFit="1" customWidth="1"/>
    <col min="15637" max="15637" width="12.33203125" style="13" customWidth="1"/>
    <col min="15638" max="15638" width="18.88671875" style="13" bestFit="1" customWidth="1"/>
    <col min="15639" max="15639" width="16.6640625" style="13" customWidth="1"/>
    <col min="15640" max="15640" width="19" style="13" bestFit="1" customWidth="1"/>
    <col min="15641" max="15641" width="9.109375" style="13"/>
    <col min="15642" max="15642" width="18.88671875" style="13" bestFit="1" customWidth="1"/>
    <col min="15643" max="15872" width="9.109375" style="13"/>
    <col min="15873" max="15873" width="10.5546875" style="13" bestFit="1" customWidth="1"/>
    <col min="15874" max="15874" width="44.109375" style="13" customWidth="1"/>
    <col min="15875" max="15875" width="14.6640625" style="13" customWidth="1"/>
    <col min="15876" max="15876" width="23.6640625" style="13" bestFit="1" customWidth="1"/>
    <col min="15877" max="15877" width="11.88671875" style="13" customWidth="1"/>
    <col min="15878" max="15878" width="20.6640625" style="13" customWidth="1"/>
    <col min="15879" max="15879" width="15.6640625" style="13" customWidth="1"/>
    <col min="15880" max="15881" width="16.109375" style="13" bestFit="1" customWidth="1"/>
    <col min="15882" max="15882" width="13.6640625" style="13" customWidth="1"/>
    <col min="15883" max="15883" width="12.6640625" style="13" bestFit="1" customWidth="1"/>
    <col min="15884" max="15884" width="15.5546875" style="13" customWidth="1"/>
    <col min="15885" max="15885" width="16.109375" style="13" bestFit="1" customWidth="1"/>
    <col min="15886" max="15886" width="13.33203125" style="13" bestFit="1" customWidth="1"/>
    <col min="15887" max="15887" width="16.33203125" style="13" bestFit="1" customWidth="1"/>
    <col min="15888" max="15888" width="9.33203125" style="13" bestFit="1" customWidth="1"/>
    <col min="15889" max="15889" width="13" style="13" bestFit="1" customWidth="1"/>
    <col min="15890" max="15890" width="20.109375" style="13" bestFit="1" customWidth="1"/>
    <col min="15891" max="15891" width="50.33203125" style="13" bestFit="1" customWidth="1"/>
    <col min="15892" max="15892" width="16.109375" style="13" bestFit="1" customWidth="1"/>
    <col min="15893" max="15893" width="12.33203125" style="13" customWidth="1"/>
    <col min="15894" max="15894" width="18.88671875" style="13" bestFit="1" customWidth="1"/>
    <col min="15895" max="15895" width="16.6640625" style="13" customWidth="1"/>
    <col min="15896" max="15896" width="19" style="13" bestFit="1" customWidth="1"/>
    <col min="15897" max="15897" width="9.109375" style="13"/>
    <col min="15898" max="15898" width="18.88671875" style="13" bestFit="1" customWidth="1"/>
    <col min="15899" max="16128" width="9.109375" style="13"/>
    <col min="16129" max="16129" width="10.5546875" style="13" bestFit="1" customWidth="1"/>
    <col min="16130" max="16130" width="44.109375" style="13" customWidth="1"/>
    <col min="16131" max="16131" width="14.6640625" style="13" customWidth="1"/>
    <col min="16132" max="16132" width="23.6640625" style="13" bestFit="1" customWidth="1"/>
    <col min="16133" max="16133" width="11.88671875" style="13" customWidth="1"/>
    <col min="16134" max="16134" width="20.6640625" style="13" customWidth="1"/>
    <col min="16135" max="16135" width="15.6640625" style="13" customWidth="1"/>
    <col min="16136" max="16137" width="16.109375" style="13" bestFit="1" customWidth="1"/>
    <col min="16138" max="16138" width="13.6640625" style="13" customWidth="1"/>
    <col min="16139" max="16139" width="12.6640625" style="13" bestFit="1" customWidth="1"/>
    <col min="16140" max="16140" width="15.5546875" style="13" customWidth="1"/>
    <col min="16141" max="16141" width="16.109375" style="13" bestFit="1" customWidth="1"/>
    <col min="16142" max="16142" width="13.33203125" style="13" bestFit="1" customWidth="1"/>
    <col min="16143" max="16143" width="16.33203125" style="13" bestFit="1" customWidth="1"/>
    <col min="16144" max="16144" width="9.33203125" style="13" bestFit="1" customWidth="1"/>
    <col min="16145" max="16145" width="13" style="13" bestFit="1" customWidth="1"/>
    <col min="16146" max="16146" width="20.109375" style="13" bestFit="1" customWidth="1"/>
    <col min="16147" max="16147" width="50.33203125" style="13" bestFit="1" customWidth="1"/>
    <col min="16148" max="16148" width="16.109375" style="13" bestFit="1" customWidth="1"/>
    <col min="16149" max="16149" width="12.33203125" style="13" customWidth="1"/>
    <col min="16150" max="16150" width="18.88671875" style="13" bestFit="1" customWidth="1"/>
    <col min="16151" max="16151" width="16.6640625" style="13" customWidth="1"/>
    <col min="16152" max="16152" width="19" style="13" bestFit="1" customWidth="1"/>
    <col min="16153" max="16153" width="9.109375" style="13"/>
    <col min="16154" max="16154" width="18.88671875" style="13" bestFit="1" customWidth="1"/>
    <col min="16155" max="16384" width="9.109375" style="13"/>
  </cols>
  <sheetData>
    <row r="1" spans="1:26">
      <c r="J1" s="16"/>
      <c r="K1" s="16"/>
      <c r="L1" s="16"/>
    </row>
    <row r="2" spans="1:26" ht="17.399999999999999">
      <c r="A2" s="208" t="s">
        <v>226</v>
      </c>
      <c r="J2" s="207"/>
      <c r="K2" s="16"/>
      <c r="L2" s="16"/>
    </row>
    <row r="3" spans="1:26" ht="14.4" thickBot="1">
      <c r="A3" s="9" t="s">
        <v>132</v>
      </c>
      <c r="H3" s="49"/>
      <c r="J3" s="206"/>
      <c r="K3" s="16"/>
      <c r="L3" s="16"/>
    </row>
    <row r="4" spans="1:26" ht="16.2" thickBot="1">
      <c r="A4" s="92"/>
      <c r="B4" s="90"/>
      <c r="C4" s="90" t="s">
        <v>225</v>
      </c>
      <c r="D4" s="205" t="e">
        <f>L217</f>
        <v>#REF!</v>
      </c>
      <c r="H4" s="49"/>
      <c r="J4" s="194"/>
      <c r="K4" s="204"/>
      <c r="L4" s="16"/>
    </row>
    <row r="5" spans="1:26">
      <c r="A5" s="94"/>
      <c r="B5" s="94"/>
      <c r="C5" s="94"/>
      <c r="D5" s="94"/>
      <c r="E5" s="94"/>
      <c r="F5" s="94"/>
      <c r="H5" s="49"/>
      <c r="J5" s="16"/>
      <c r="K5" s="193"/>
      <c r="L5" s="48"/>
      <c r="M5" s="49"/>
      <c r="N5" s="49"/>
      <c r="O5" s="49"/>
      <c r="P5" s="49"/>
      <c r="Q5" s="49"/>
      <c r="R5" s="49"/>
      <c r="S5" s="49"/>
      <c r="T5" s="203"/>
      <c r="U5" s="203"/>
      <c r="V5" s="203"/>
      <c r="W5" s="203"/>
      <c r="X5" s="203"/>
    </row>
    <row r="6" spans="1:26" ht="14.4">
      <c r="A6" s="94"/>
      <c r="B6" s="202"/>
      <c r="C6" s="201"/>
      <c r="D6" s="200"/>
      <c r="E6" s="201"/>
      <c r="F6" s="200" t="s">
        <v>99</v>
      </c>
      <c r="H6" s="49"/>
      <c r="J6" s="16"/>
      <c r="K6" s="193"/>
      <c r="L6" s="48"/>
      <c r="M6" s="49"/>
      <c r="N6" s="49"/>
      <c r="O6" s="49"/>
      <c r="P6" s="49"/>
      <c r="Q6" s="49"/>
      <c r="R6" s="49"/>
      <c r="S6" s="49"/>
      <c r="T6" s="199"/>
      <c r="X6" s="198"/>
      <c r="Z6" s="192"/>
    </row>
    <row r="7" spans="1:26" ht="15.6">
      <c r="A7" s="100"/>
      <c r="B7" s="197"/>
      <c r="C7" s="197"/>
      <c r="D7" s="9"/>
      <c r="E7" s="196" t="s">
        <v>224</v>
      </c>
      <c r="F7" s="195" t="e">
        <f>L213</f>
        <v>#REF!</v>
      </c>
      <c r="H7" s="49"/>
      <c r="J7" s="194"/>
      <c r="K7" s="193"/>
      <c r="L7" s="48"/>
      <c r="M7" s="49"/>
      <c r="N7" s="49"/>
      <c r="O7" s="49"/>
      <c r="P7" s="49"/>
      <c r="Q7" s="49"/>
      <c r="R7" s="49"/>
      <c r="S7" s="49"/>
      <c r="T7" s="86"/>
      <c r="Z7" s="192"/>
    </row>
    <row r="8" spans="1:26" ht="14.4">
      <c r="A8" s="93"/>
      <c r="B8" s="93"/>
      <c r="H8" s="49"/>
      <c r="J8" s="16"/>
      <c r="K8" s="48"/>
      <c r="L8" s="48"/>
      <c r="M8" s="49"/>
      <c r="N8" s="49"/>
      <c r="O8" s="49"/>
      <c r="P8" s="49"/>
      <c r="Q8" s="49"/>
      <c r="R8" s="49"/>
      <c r="S8" s="49"/>
      <c r="Z8" s="192"/>
    </row>
    <row r="9" spans="1:26" ht="14.4">
      <c r="H9" s="49"/>
      <c r="J9" s="16"/>
      <c r="K9" s="48"/>
      <c r="L9" s="48"/>
      <c r="M9" s="49"/>
      <c r="N9" s="49"/>
      <c r="O9" s="49"/>
      <c r="P9" s="49"/>
      <c r="Q9" s="49"/>
      <c r="R9" s="49"/>
      <c r="S9" s="49"/>
      <c r="Z9" s="192"/>
    </row>
    <row r="10" spans="1:26" ht="14.4">
      <c r="H10" s="49"/>
      <c r="J10" s="16"/>
      <c r="K10" s="48"/>
      <c r="L10" s="48"/>
      <c r="M10" s="49"/>
      <c r="N10" s="49"/>
      <c r="O10" s="49"/>
      <c r="P10" s="49"/>
      <c r="Q10" s="49"/>
      <c r="R10" s="49"/>
      <c r="S10" s="49"/>
      <c r="T10" s="190"/>
      <c r="X10" s="190"/>
      <c r="Z10" s="192"/>
    </row>
    <row r="11" spans="1:26">
      <c r="H11" s="49"/>
      <c r="J11" s="16"/>
      <c r="K11" s="48"/>
      <c r="L11" s="48"/>
      <c r="M11" s="49"/>
      <c r="N11" s="49"/>
      <c r="O11" s="49"/>
      <c r="P11" s="49"/>
      <c r="Q11" s="49"/>
      <c r="R11" s="49"/>
      <c r="S11" s="49"/>
      <c r="Z11" s="49"/>
    </row>
    <row r="12" spans="1:26">
      <c r="B12" s="150" t="s">
        <v>223</v>
      </c>
      <c r="H12" s="49"/>
      <c r="K12" s="49"/>
      <c r="L12" s="49"/>
      <c r="M12" s="49"/>
      <c r="N12" s="49"/>
      <c r="O12" s="49"/>
      <c r="P12" s="49"/>
      <c r="Q12" s="49"/>
      <c r="R12" s="49"/>
      <c r="S12" s="49"/>
      <c r="Z12" s="49"/>
    </row>
    <row r="13" spans="1:26">
      <c r="B13" s="124"/>
      <c r="H13" s="49"/>
      <c r="K13" s="49"/>
      <c r="L13" s="49"/>
      <c r="M13" s="49"/>
      <c r="N13" s="49"/>
      <c r="O13" s="49"/>
      <c r="P13" s="49"/>
      <c r="Q13" s="49"/>
      <c r="R13" s="49"/>
      <c r="S13" s="49"/>
      <c r="Z13" s="49"/>
    </row>
    <row r="14" spans="1:26">
      <c r="B14" s="129" t="s">
        <v>222</v>
      </c>
      <c r="C14" s="94"/>
      <c r="D14" s="94"/>
      <c r="E14" s="94"/>
      <c r="H14" s="49"/>
      <c r="K14" s="49"/>
      <c r="L14" s="49"/>
      <c r="M14" s="49"/>
      <c r="N14" s="49"/>
      <c r="O14" s="49"/>
      <c r="P14" s="49"/>
      <c r="Q14" s="49"/>
      <c r="R14" s="49"/>
      <c r="S14" s="49"/>
      <c r="Z14" s="49"/>
    </row>
    <row r="15" spans="1:26" ht="14.4">
      <c r="B15" s="139" t="s">
        <v>172</v>
      </c>
      <c r="C15" s="139"/>
      <c r="D15" s="191">
        <v>14101.476000000001</v>
      </c>
      <c r="E15" s="141" t="s">
        <v>171</v>
      </c>
      <c r="F15" s="49"/>
      <c r="H15" s="49"/>
      <c r="K15" s="49"/>
      <c r="L15" s="49"/>
      <c r="M15" s="49"/>
      <c r="N15" s="49"/>
      <c r="O15" s="49"/>
      <c r="P15" s="49"/>
      <c r="Q15" s="49"/>
      <c r="R15" s="49"/>
      <c r="S15" s="49"/>
      <c r="T15" s="190"/>
      <c r="V15" s="190"/>
      <c r="X15" s="190"/>
      <c r="Z15" s="190"/>
    </row>
    <row r="16" spans="1:26" ht="14.4">
      <c r="B16" s="139" t="s">
        <v>170</v>
      </c>
      <c r="C16" s="139"/>
      <c r="D16" s="191">
        <v>146</v>
      </c>
      <c r="E16" s="141" t="s">
        <v>169</v>
      </c>
      <c r="F16" s="49"/>
      <c r="H16" s="49"/>
      <c r="K16" s="49"/>
      <c r="L16" s="49"/>
      <c r="M16" s="49"/>
      <c r="N16" s="49"/>
      <c r="O16" s="49"/>
      <c r="P16" s="49"/>
      <c r="Q16" s="49"/>
      <c r="R16" s="49"/>
      <c r="S16" s="49"/>
      <c r="T16" s="190"/>
      <c r="V16" s="190"/>
      <c r="X16" s="190"/>
      <c r="Z16" s="190"/>
    </row>
    <row r="17" spans="1:26" ht="14.4">
      <c r="B17" s="139" t="s">
        <v>168</v>
      </c>
      <c r="C17" s="139"/>
      <c r="D17" s="191">
        <v>2337</v>
      </c>
      <c r="E17" s="141" t="s">
        <v>103</v>
      </c>
      <c r="F17" s="49"/>
      <c r="H17" s="49"/>
      <c r="K17" s="49"/>
      <c r="L17" s="49"/>
      <c r="M17" s="49"/>
      <c r="N17" s="49"/>
      <c r="O17" s="49"/>
      <c r="P17" s="49"/>
      <c r="Q17" s="49"/>
      <c r="R17" s="49"/>
      <c r="S17" s="49"/>
      <c r="T17" s="190"/>
      <c r="V17" s="190"/>
      <c r="X17" s="190"/>
      <c r="Z17" s="190"/>
    </row>
    <row r="18" spans="1:26" ht="14.4">
      <c r="B18" s="139" t="s">
        <v>167</v>
      </c>
      <c r="C18" s="139"/>
      <c r="D18" s="191">
        <v>27095983</v>
      </c>
      <c r="E18" s="141" t="s">
        <v>166</v>
      </c>
      <c r="F18" s="49"/>
      <c r="H18" s="49"/>
      <c r="K18" s="49"/>
      <c r="L18" s="49"/>
      <c r="M18" s="49"/>
      <c r="N18" s="49"/>
      <c r="O18" s="49"/>
      <c r="P18" s="49"/>
      <c r="Q18" s="49"/>
      <c r="R18" s="49"/>
      <c r="S18" s="49"/>
      <c r="T18" s="190"/>
      <c r="V18" s="190"/>
      <c r="X18" s="190"/>
      <c r="Z18" s="190"/>
    </row>
    <row r="19" spans="1:26">
      <c r="B19" s="94"/>
      <c r="C19" s="94"/>
      <c r="D19" s="107"/>
      <c r="E19" s="141"/>
      <c r="F19" s="49"/>
      <c r="H19" s="49"/>
      <c r="K19" s="49"/>
      <c r="L19" s="49"/>
      <c r="M19" s="49"/>
      <c r="N19" s="49"/>
      <c r="O19" s="49"/>
      <c r="P19" s="188"/>
      <c r="Q19" s="49"/>
      <c r="R19" s="49"/>
      <c r="S19" s="49"/>
      <c r="Z19" s="49"/>
    </row>
    <row r="20" spans="1:26" ht="14.4">
      <c r="B20" s="94"/>
      <c r="C20" s="94"/>
      <c r="D20" s="107"/>
      <c r="E20" s="141"/>
      <c r="H20" s="49"/>
      <c r="K20" s="49"/>
      <c r="L20" s="49"/>
      <c r="M20" s="49"/>
      <c r="N20" s="49"/>
      <c r="O20" s="189"/>
      <c r="P20" s="188"/>
      <c r="Q20" s="49"/>
      <c r="R20" s="49"/>
      <c r="S20" s="49"/>
      <c r="Z20" s="49"/>
    </row>
    <row r="21" spans="1:26" ht="14.4">
      <c r="H21" s="49"/>
      <c r="K21" s="49"/>
      <c r="L21" s="49"/>
      <c r="M21" s="48"/>
      <c r="N21" s="48"/>
      <c r="O21" s="174"/>
      <c r="P21" s="48"/>
      <c r="Q21" s="48"/>
      <c r="R21" s="48"/>
      <c r="S21" s="48"/>
      <c r="Z21" s="49"/>
    </row>
    <row r="22" spans="1:26" s="87" customFormat="1" ht="14.4">
      <c r="M22" s="186"/>
      <c r="N22" s="186"/>
      <c r="O22" s="187"/>
      <c r="P22" s="186"/>
      <c r="Q22" s="186"/>
      <c r="R22" s="186"/>
      <c r="S22" s="186"/>
    </row>
    <row r="23" spans="1:26" ht="14.4">
      <c r="G23" s="49"/>
      <c r="H23" s="49"/>
      <c r="I23" s="49"/>
      <c r="J23" s="49"/>
      <c r="K23" s="185"/>
      <c r="L23" s="49"/>
      <c r="M23" s="48"/>
      <c r="N23" s="48"/>
      <c r="O23" s="174"/>
      <c r="P23" s="48"/>
      <c r="Q23" s="48"/>
      <c r="R23" s="48"/>
      <c r="S23" s="48"/>
      <c r="T23" s="49"/>
      <c r="U23" s="49"/>
      <c r="V23" s="49"/>
      <c r="W23" s="49"/>
      <c r="X23" s="49"/>
      <c r="Y23" s="49"/>
      <c r="Z23" s="49"/>
    </row>
    <row r="24" spans="1:26">
      <c r="B24" s="94" t="s">
        <v>221</v>
      </c>
      <c r="G24" s="49"/>
      <c r="H24" s="49"/>
      <c r="I24" s="49"/>
      <c r="J24" s="49"/>
      <c r="K24" s="49"/>
      <c r="L24" s="49"/>
      <c r="M24" s="48"/>
      <c r="N24" s="48"/>
      <c r="O24" s="48"/>
      <c r="P24" s="48"/>
      <c r="Q24" s="48"/>
      <c r="R24" s="48"/>
      <c r="S24" s="48"/>
      <c r="T24" s="49"/>
      <c r="U24" s="49"/>
      <c r="V24" s="49"/>
      <c r="W24" s="49"/>
      <c r="X24" s="49"/>
      <c r="Y24" s="49"/>
      <c r="Z24" s="49"/>
    </row>
    <row r="25" spans="1:26">
      <c r="D25" s="104"/>
      <c r="G25" s="49"/>
      <c r="H25" s="49"/>
      <c r="I25" s="49"/>
      <c r="J25" s="49"/>
      <c r="K25" s="49"/>
      <c r="L25" s="49"/>
      <c r="M25" s="48"/>
      <c r="N25" s="48"/>
      <c r="O25" s="48"/>
      <c r="P25" s="48"/>
      <c r="Q25" s="48"/>
      <c r="R25" s="48"/>
      <c r="S25" s="48"/>
      <c r="T25" s="49"/>
      <c r="U25" s="49"/>
      <c r="V25" s="49"/>
      <c r="W25" s="49"/>
      <c r="X25" s="49"/>
      <c r="Y25" s="49"/>
      <c r="Z25" s="49"/>
    </row>
    <row r="26" spans="1:26">
      <c r="A26" s="184" t="s">
        <v>0</v>
      </c>
      <c r="B26" s="183"/>
      <c r="C26" s="182"/>
      <c r="D26" s="176" t="s">
        <v>218</v>
      </c>
      <c r="E26" s="181" t="s">
        <v>220</v>
      </c>
      <c r="F26" s="181"/>
      <c r="K26" s="49"/>
      <c r="L26" s="49"/>
      <c r="M26" s="48"/>
      <c r="N26" s="48"/>
      <c r="O26" s="48"/>
      <c r="P26" s="48"/>
      <c r="Q26" s="48"/>
      <c r="R26" s="48"/>
      <c r="S26" s="48"/>
      <c r="T26" s="49"/>
      <c r="U26" s="49"/>
      <c r="V26" s="49"/>
      <c r="W26" s="49"/>
      <c r="X26" s="49"/>
      <c r="Y26" s="49"/>
      <c r="Z26" s="49"/>
    </row>
    <row r="27" spans="1:26">
      <c r="A27" s="180" t="s">
        <v>2</v>
      </c>
      <c r="B27" s="180"/>
      <c r="C27" s="179" t="s">
        <v>219</v>
      </c>
      <c r="D27" s="178" t="s">
        <v>81</v>
      </c>
      <c r="E27" s="178" t="s">
        <v>218</v>
      </c>
      <c r="F27" s="175"/>
      <c r="K27" s="49"/>
      <c r="M27" s="48"/>
      <c r="N27" s="48"/>
      <c r="O27" s="48"/>
      <c r="P27" s="48"/>
      <c r="Q27" s="48"/>
      <c r="R27" s="48"/>
      <c r="S27" s="48"/>
      <c r="T27" s="49"/>
      <c r="U27" s="49"/>
      <c r="V27" s="49"/>
      <c r="W27" s="49"/>
      <c r="X27" s="49"/>
      <c r="Y27" s="49"/>
      <c r="Z27" s="49"/>
    </row>
    <row r="28" spans="1:26">
      <c r="A28" s="177"/>
      <c r="B28" s="177" t="s">
        <v>4</v>
      </c>
      <c r="C28" s="177" t="s">
        <v>5</v>
      </c>
      <c r="D28" s="176" t="s">
        <v>6</v>
      </c>
      <c r="E28" s="176" t="s">
        <v>7</v>
      </c>
      <c r="F28" s="175"/>
      <c r="K28" s="49"/>
      <c r="M28" s="48"/>
      <c r="N28" s="48"/>
      <c r="O28" s="48"/>
      <c r="P28" s="48"/>
      <c r="Q28" s="48"/>
      <c r="R28" s="48"/>
      <c r="S28" s="48"/>
      <c r="T28" s="49"/>
      <c r="U28" s="49"/>
      <c r="V28" s="49"/>
      <c r="W28" s="49"/>
      <c r="X28" s="49"/>
      <c r="Y28" s="49"/>
      <c r="Z28" s="49"/>
    </row>
    <row r="29" spans="1:26">
      <c r="A29" s="167">
        <v>1</v>
      </c>
      <c r="B29" s="169" t="s">
        <v>217</v>
      </c>
      <c r="C29" s="169" t="e">
        <f>SUM(D29:E29)</f>
        <v>#REF!</v>
      </c>
      <c r="D29" s="159" t="e">
        <f>AVERAGE(#REF!,#REF!,#REF!,#REF!,#REF!,#REF!)</f>
        <v>#REF!</v>
      </c>
      <c r="E29" s="159" t="e">
        <f>AVERAGE(#REF!,#REF!,#REF!,#REF!,#REF!,#REF!)</f>
        <v>#REF!</v>
      </c>
      <c r="F29" s="163"/>
      <c r="G29" s="176" t="s">
        <v>218</v>
      </c>
      <c r="H29" s="181" t="s">
        <v>220</v>
      </c>
      <c r="K29" s="49"/>
      <c r="M29" s="48"/>
      <c r="N29" s="48"/>
      <c r="O29" s="48"/>
      <c r="P29" s="48"/>
      <c r="Q29" s="48"/>
      <c r="R29" s="48"/>
      <c r="S29" s="48"/>
      <c r="T29" s="49"/>
      <c r="U29" s="49"/>
      <c r="V29" s="49"/>
      <c r="W29" s="49"/>
      <c r="X29" s="49"/>
      <c r="Y29" s="49"/>
      <c r="Z29" s="49"/>
    </row>
    <row r="30" spans="1:26" ht="14.4">
      <c r="A30" s="167">
        <v>2</v>
      </c>
      <c r="B30" s="174" t="s">
        <v>216</v>
      </c>
      <c r="C30" s="169" t="e">
        <f>SUM(D30:E30)</f>
        <v>#REF!</v>
      </c>
      <c r="D30" s="159" t="e">
        <f>AVERAGE(#REF!,#REF!,#REF!,#REF!,#REF!,#REF!)</f>
        <v>#REF!</v>
      </c>
      <c r="E30" s="159" t="e">
        <f>AVERAGE(#REF!,#REF!,#REF!,#REF!,#REF!,#REF!)</f>
        <v>#REF!</v>
      </c>
      <c r="F30" s="163"/>
      <c r="G30" s="178" t="s">
        <v>81</v>
      </c>
      <c r="H30" s="178" t="s">
        <v>218</v>
      </c>
      <c r="K30" s="49"/>
      <c r="R30" s="49"/>
      <c r="S30" s="49"/>
      <c r="T30" s="49"/>
      <c r="U30" s="49"/>
      <c r="V30" s="49"/>
      <c r="W30" s="49"/>
      <c r="X30" s="49"/>
      <c r="Y30" s="49"/>
      <c r="Z30" s="49"/>
    </row>
    <row r="31" spans="1:26">
      <c r="A31" s="167">
        <v>3</v>
      </c>
      <c r="B31" s="169" t="s">
        <v>215</v>
      </c>
      <c r="C31" s="164" t="e">
        <f>AVERAGE(#REF!)</f>
        <v>#REF!</v>
      </c>
      <c r="D31" s="164" t="e">
        <f>$C$31*G32</f>
        <v>#REF!</v>
      </c>
      <c r="E31" s="164" t="e">
        <f>$C$31*H32</f>
        <v>#REF!</v>
      </c>
      <c r="F31" s="163"/>
      <c r="G31" s="173"/>
      <c r="K31" s="49"/>
      <c r="R31" s="49"/>
      <c r="S31" s="49"/>
      <c r="T31" s="49"/>
      <c r="U31" s="49"/>
      <c r="V31" s="49"/>
      <c r="W31" s="49"/>
      <c r="X31" s="49"/>
      <c r="Y31" s="49"/>
      <c r="Z31" s="49"/>
    </row>
    <row r="32" spans="1:26">
      <c r="B32" s="166"/>
      <c r="C32" s="172">
        <v>-28066.897990328027</v>
      </c>
      <c r="D32" s="171"/>
      <c r="E32" s="171"/>
      <c r="F32" s="16"/>
      <c r="G32" s="265" t="e">
        <f>AVERAGE(#REF!,#REF!,#REF!,#REF!,#REF!,#REF!)</f>
        <v>#REF!</v>
      </c>
      <c r="H32" s="265" t="e">
        <f>AVERAGE(#REF!,#REF!,#REF!,#REF!,#REF!,#REF!)</f>
        <v>#REF!</v>
      </c>
      <c r="I32" s="121"/>
      <c r="K32" s="49"/>
      <c r="R32" s="49"/>
      <c r="S32" s="49"/>
      <c r="T32" s="49"/>
      <c r="U32" s="49"/>
      <c r="V32" s="49"/>
      <c r="W32" s="49"/>
      <c r="X32" s="49"/>
      <c r="Y32" s="49"/>
      <c r="Z32" s="49"/>
    </row>
    <row r="33" spans="1:26">
      <c r="A33" s="167"/>
      <c r="B33" s="170"/>
      <c r="C33" s="169"/>
      <c r="D33" s="169"/>
      <c r="E33" s="169"/>
      <c r="F33" s="163"/>
      <c r="G33" s="9"/>
      <c r="H33" s="9"/>
      <c r="K33" s="49"/>
      <c r="R33" s="49"/>
      <c r="S33" s="49"/>
      <c r="T33" s="49"/>
      <c r="U33" s="49"/>
      <c r="V33" s="49"/>
      <c r="W33" s="49"/>
      <c r="X33" s="49"/>
      <c r="Y33" s="49"/>
      <c r="Z33" s="49"/>
    </row>
    <row r="34" spans="1:26">
      <c r="A34" s="167"/>
      <c r="B34" s="166" t="s">
        <v>262</v>
      </c>
      <c r="C34" s="168" t="e">
        <f>AVERAGE(#REF!)*-1000</f>
        <v>#REF!</v>
      </c>
      <c r="D34" s="168" t="e">
        <f>$C$34*G35</f>
        <v>#REF!</v>
      </c>
      <c r="E34" s="168" t="e">
        <f>$C$34*H35</f>
        <v>#REF!</v>
      </c>
      <c r="F34" s="163"/>
      <c r="G34" s="9"/>
      <c r="H34" s="9"/>
      <c r="K34" s="49"/>
      <c r="R34" s="49"/>
      <c r="S34" s="49"/>
      <c r="T34" s="49"/>
      <c r="U34" s="49"/>
      <c r="V34" s="49"/>
      <c r="W34" s="49"/>
      <c r="X34" s="49"/>
      <c r="Y34" s="49"/>
      <c r="Z34" s="49"/>
    </row>
    <row r="35" spans="1:26">
      <c r="A35" s="167"/>
      <c r="B35" s="166" t="s">
        <v>261</v>
      </c>
      <c r="C35" s="165" t="e">
        <f>C31+C34</f>
        <v>#REF!</v>
      </c>
      <c r="D35" s="164" t="e">
        <f>D34+D31</f>
        <v>#REF!</v>
      </c>
      <c r="E35" s="164" t="e">
        <f>E34+E31</f>
        <v>#REF!</v>
      </c>
      <c r="F35" s="163"/>
      <c r="G35" s="265" t="e">
        <f>G32</f>
        <v>#REF!</v>
      </c>
      <c r="H35" s="265" t="e">
        <f>H32</f>
        <v>#REF!</v>
      </c>
      <c r="K35" s="49"/>
      <c r="R35" s="49"/>
      <c r="S35" s="49"/>
      <c r="T35" s="49"/>
      <c r="U35" s="49"/>
      <c r="V35" s="49"/>
      <c r="W35" s="49"/>
      <c r="X35" s="49"/>
      <c r="Y35" s="49"/>
      <c r="Z35" s="49"/>
    </row>
    <row r="36" spans="1:26">
      <c r="I36" s="162"/>
      <c r="K36" s="49"/>
      <c r="R36" s="49"/>
      <c r="S36" s="49"/>
      <c r="T36" s="49"/>
      <c r="U36" s="49"/>
      <c r="V36" s="49"/>
      <c r="W36" s="49"/>
      <c r="X36" s="49"/>
      <c r="Y36" s="49"/>
      <c r="Z36" s="49"/>
    </row>
    <row r="37" spans="1:26">
      <c r="I37" s="162"/>
      <c r="K37" s="49"/>
      <c r="R37" s="49"/>
      <c r="S37" s="49"/>
      <c r="T37" s="49"/>
      <c r="U37" s="49"/>
      <c r="V37" s="49"/>
      <c r="W37" s="49"/>
      <c r="X37" s="49"/>
      <c r="Y37" s="49"/>
      <c r="Z37" s="49"/>
    </row>
    <row r="38" spans="1:26">
      <c r="B38" s="161" t="s">
        <v>214</v>
      </c>
      <c r="C38" s="13" t="s">
        <v>209</v>
      </c>
      <c r="D38" s="132" t="e">
        <f>(D29+D30)</f>
        <v>#REF!</v>
      </c>
      <c r="E38" s="49" t="s">
        <v>213</v>
      </c>
      <c r="K38" s="49"/>
      <c r="R38" s="49"/>
      <c r="S38" s="49"/>
      <c r="T38" s="49"/>
      <c r="U38" s="49"/>
      <c r="V38" s="49"/>
      <c r="W38" s="49"/>
      <c r="X38" s="49"/>
      <c r="Y38" s="49"/>
      <c r="Z38" s="49"/>
    </row>
    <row r="39" spans="1:26" ht="27.6">
      <c r="B39" s="161" t="s">
        <v>212</v>
      </c>
      <c r="C39" s="13" t="s">
        <v>209</v>
      </c>
      <c r="D39" s="132" t="e">
        <f>D34*(D38/D31)</f>
        <v>#REF!</v>
      </c>
      <c r="E39" s="13" t="s">
        <v>211</v>
      </c>
      <c r="K39" s="49"/>
      <c r="R39" s="49"/>
      <c r="S39" s="49"/>
      <c r="T39" s="49"/>
      <c r="U39" s="49"/>
      <c r="V39" s="49"/>
      <c r="W39" s="49"/>
      <c r="X39" s="49"/>
      <c r="Y39" s="49"/>
      <c r="Z39" s="49"/>
    </row>
    <row r="40" spans="1:26" ht="28.2" thickBot="1">
      <c r="B40" s="161" t="s">
        <v>210</v>
      </c>
      <c r="C40" s="13" t="s">
        <v>209</v>
      </c>
      <c r="D40" s="160" t="e">
        <f>D38+D39</f>
        <v>#REF!</v>
      </c>
      <c r="E40" s="13" t="s">
        <v>208</v>
      </c>
      <c r="K40" s="49"/>
      <c r="R40" s="49"/>
      <c r="S40" s="49"/>
      <c r="T40" s="49"/>
      <c r="U40" s="49"/>
      <c r="V40" s="49"/>
      <c r="W40" s="49"/>
      <c r="X40" s="49"/>
      <c r="Y40" s="49"/>
      <c r="Z40" s="49"/>
    </row>
    <row r="41" spans="1:26" ht="14.4" thickTop="1">
      <c r="B41" s="49"/>
      <c r="C41" s="49"/>
      <c r="D41" s="49"/>
      <c r="E41" s="49"/>
      <c r="F41" s="49"/>
      <c r="G41" s="49"/>
      <c r="H41" s="49"/>
      <c r="K41" s="49"/>
      <c r="R41" s="49"/>
      <c r="S41" s="49"/>
      <c r="T41" s="49"/>
      <c r="U41" s="49"/>
      <c r="V41" s="49"/>
      <c r="W41" s="49"/>
      <c r="X41" s="49"/>
      <c r="Y41" s="49"/>
      <c r="Z41" s="49"/>
    </row>
    <row r="42" spans="1:26">
      <c r="B42" s="13" t="s">
        <v>207</v>
      </c>
      <c r="C42" s="49" t="s">
        <v>206</v>
      </c>
      <c r="D42" s="159" t="e">
        <f>#REF!</f>
        <v>#REF!</v>
      </c>
      <c r="E42" s="49" t="s">
        <v>205</v>
      </c>
      <c r="F42" s="49"/>
      <c r="G42" s="49"/>
      <c r="H42" s="49"/>
      <c r="K42" s="49"/>
      <c r="R42" s="49"/>
      <c r="S42" s="49"/>
      <c r="T42" s="49"/>
      <c r="U42" s="49"/>
      <c r="V42" s="49"/>
      <c r="W42" s="49"/>
      <c r="X42" s="49"/>
      <c r="Y42" s="49"/>
      <c r="Z42" s="49"/>
    </row>
    <row r="43" spans="1:26" ht="14.4" thickBot="1">
      <c r="K43" s="49"/>
      <c r="R43" s="49"/>
      <c r="S43" s="49"/>
      <c r="T43" s="49"/>
      <c r="U43" s="49"/>
      <c r="V43" s="49"/>
      <c r="W43" s="49"/>
      <c r="X43" s="49"/>
      <c r="Y43" s="49"/>
      <c r="Z43" s="49"/>
    </row>
    <row r="44" spans="1:26" ht="14.4" thickBot="1">
      <c r="B44" s="13" t="s">
        <v>135</v>
      </c>
      <c r="C44" s="13" t="s">
        <v>97</v>
      </c>
      <c r="D44" s="158" t="e">
        <f>D40/(D42*365)</f>
        <v>#REF!</v>
      </c>
      <c r="E44" s="49" t="s">
        <v>204</v>
      </c>
      <c r="K44" s="49"/>
      <c r="R44" s="49"/>
      <c r="S44" s="49"/>
      <c r="T44" s="49"/>
      <c r="U44" s="49"/>
      <c r="V44" s="49"/>
      <c r="W44" s="49"/>
      <c r="X44" s="49"/>
      <c r="Y44" s="49"/>
      <c r="Z44" s="49"/>
    </row>
    <row r="45" spans="1:26">
      <c r="K45" s="49"/>
      <c r="R45" s="49"/>
      <c r="S45" s="49"/>
      <c r="T45" s="49"/>
      <c r="U45" s="49"/>
      <c r="V45" s="49"/>
      <c r="W45" s="49"/>
      <c r="X45" s="49"/>
      <c r="Y45" s="49"/>
      <c r="Z45" s="49"/>
    </row>
    <row r="46" spans="1:26" s="87" customFormat="1"/>
    <row r="47" spans="1:26">
      <c r="A47" s="49"/>
      <c r="B47" s="150" t="s">
        <v>203</v>
      </c>
      <c r="K47" s="49"/>
    </row>
    <row r="48" spans="1:26">
      <c r="A48" s="49"/>
      <c r="B48" s="157"/>
      <c r="J48" s="156" t="s">
        <v>202</v>
      </c>
      <c r="K48" s="49"/>
    </row>
    <row r="49" spans="1:11">
      <c r="A49" s="49"/>
      <c r="B49" s="150" t="s">
        <v>201</v>
      </c>
      <c r="K49" s="49"/>
    </row>
    <row r="50" spans="1:11">
      <c r="A50" s="49"/>
      <c r="K50" s="49"/>
    </row>
    <row r="51" spans="1:11" ht="66">
      <c r="A51" s="49"/>
      <c r="B51" s="149"/>
      <c r="C51" s="148"/>
      <c r="D51" s="148" t="s">
        <v>200</v>
      </c>
      <c r="E51" s="148" t="s">
        <v>199</v>
      </c>
      <c r="F51" s="148" t="s">
        <v>198</v>
      </c>
      <c r="G51" s="148" t="s">
        <v>197</v>
      </c>
      <c r="H51" s="16"/>
      <c r="K51" s="49"/>
    </row>
    <row r="52" spans="1:11">
      <c r="A52" s="49"/>
      <c r="B52" s="149"/>
      <c r="C52" s="148"/>
      <c r="D52" s="148"/>
      <c r="E52" s="148"/>
      <c r="F52" s="148"/>
      <c r="G52" s="148"/>
      <c r="K52" s="49"/>
    </row>
    <row r="53" spans="1:11">
      <c r="A53" s="49"/>
      <c r="B53" s="147" t="s">
        <v>113</v>
      </c>
      <c r="C53" s="147" t="s">
        <v>112</v>
      </c>
      <c r="D53" s="472" t="s">
        <v>196</v>
      </c>
      <c r="E53" s="472"/>
      <c r="F53" s="472"/>
      <c r="G53" s="472"/>
      <c r="H53" s="94"/>
      <c r="J53" s="105" t="s">
        <v>178</v>
      </c>
      <c r="K53" s="49"/>
    </row>
    <row r="54" spans="1:11">
      <c r="A54" s="49"/>
      <c r="B54" s="145" t="s">
        <v>107</v>
      </c>
      <c r="C54" s="145" t="s">
        <v>106</v>
      </c>
      <c r="D54" s="145"/>
      <c r="E54" s="145"/>
      <c r="F54" s="145"/>
      <c r="G54" s="145"/>
      <c r="I54" s="144" t="s">
        <v>177</v>
      </c>
      <c r="J54" s="144" t="s">
        <v>176</v>
      </c>
      <c r="K54" s="49"/>
    </row>
    <row r="55" spans="1:11">
      <c r="A55" s="49"/>
      <c r="B55" s="145"/>
      <c r="C55" s="145"/>
      <c r="D55" s="145"/>
      <c r="E55" s="145"/>
      <c r="F55" s="145"/>
      <c r="G55" s="145"/>
      <c r="I55" s="144"/>
      <c r="J55" s="144"/>
      <c r="K55" s="49"/>
    </row>
    <row r="56" spans="1:11">
      <c r="A56" s="49"/>
      <c r="B56" s="473">
        <v>50</v>
      </c>
      <c r="C56" s="145">
        <v>50</v>
      </c>
      <c r="D56" s="143">
        <v>0</v>
      </c>
      <c r="E56" s="143">
        <v>1</v>
      </c>
      <c r="F56" s="143">
        <v>0</v>
      </c>
      <c r="G56" s="143">
        <v>0</v>
      </c>
      <c r="I56" s="155">
        <f t="shared" ref="I56:I73" si="0">D56*7+E56*2</f>
        <v>2</v>
      </c>
      <c r="J56" s="155">
        <f t="shared" ref="J56:J73" si="1">F56*12.8+G56*13.8</f>
        <v>0</v>
      </c>
      <c r="K56" s="49"/>
    </row>
    <row r="57" spans="1:11">
      <c r="A57" s="49"/>
      <c r="B57" s="473"/>
      <c r="C57" s="145">
        <v>100</v>
      </c>
      <c r="D57" s="143">
        <v>1</v>
      </c>
      <c r="E57" s="143">
        <v>0</v>
      </c>
      <c r="F57" s="143">
        <v>0.06</v>
      </c>
      <c r="G57" s="143">
        <v>0</v>
      </c>
      <c r="I57" s="155">
        <f t="shared" si="0"/>
        <v>7</v>
      </c>
      <c r="J57" s="155">
        <f t="shared" si="1"/>
        <v>0.76800000000000002</v>
      </c>
      <c r="K57" s="49"/>
    </row>
    <row r="58" spans="1:11">
      <c r="A58" s="49"/>
      <c r="B58" s="473"/>
      <c r="C58" s="145">
        <v>150</v>
      </c>
      <c r="D58" s="143">
        <v>1</v>
      </c>
      <c r="E58" s="143">
        <v>0</v>
      </c>
      <c r="F58" s="143">
        <v>0.19</v>
      </c>
      <c r="G58" s="143">
        <v>0</v>
      </c>
      <c r="I58" s="155">
        <f t="shared" si="0"/>
        <v>7</v>
      </c>
      <c r="J58" s="155">
        <f t="shared" si="1"/>
        <v>2.4320000000000004</v>
      </c>
      <c r="K58" s="49"/>
    </row>
    <row r="59" spans="1:11">
      <c r="A59" s="49"/>
      <c r="B59" s="473"/>
      <c r="C59" s="145">
        <v>200</v>
      </c>
      <c r="D59" s="143">
        <v>1</v>
      </c>
      <c r="E59" s="143">
        <v>0</v>
      </c>
      <c r="F59" s="143">
        <v>0.35</v>
      </c>
      <c r="G59" s="143">
        <v>0</v>
      </c>
      <c r="I59" s="155">
        <f t="shared" si="0"/>
        <v>7</v>
      </c>
      <c r="J59" s="155">
        <f t="shared" si="1"/>
        <v>4.4799999999999995</v>
      </c>
      <c r="K59" s="49"/>
    </row>
    <row r="60" spans="1:11">
      <c r="A60" s="49"/>
      <c r="B60" s="473"/>
      <c r="C60" s="145">
        <v>250</v>
      </c>
      <c r="D60" s="143">
        <v>1</v>
      </c>
      <c r="E60" s="143">
        <v>0</v>
      </c>
      <c r="F60" s="143">
        <v>0.61</v>
      </c>
      <c r="G60" s="143">
        <v>0</v>
      </c>
      <c r="I60" s="155">
        <f t="shared" si="0"/>
        <v>7</v>
      </c>
      <c r="J60" s="155">
        <f t="shared" si="1"/>
        <v>7.8079999999999998</v>
      </c>
      <c r="K60" s="49"/>
    </row>
    <row r="61" spans="1:11">
      <c r="A61" s="49"/>
      <c r="B61" s="473"/>
      <c r="C61" s="145">
        <v>300</v>
      </c>
      <c r="D61" s="143">
        <v>1</v>
      </c>
      <c r="E61" s="143">
        <v>0</v>
      </c>
      <c r="F61" s="143">
        <v>1</v>
      </c>
      <c r="G61" s="143">
        <v>0.01</v>
      </c>
      <c r="I61" s="155">
        <f t="shared" si="0"/>
        <v>7</v>
      </c>
      <c r="J61" s="155">
        <f t="shared" si="1"/>
        <v>12.938000000000001</v>
      </c>
      <c r="K61" s="49"/>
    </row>
    <row r="62" spans="1:11">
      <c r="A62" s="49"/>
      <c r="B62" s="473">
        <v>100</v>
      </c>
      <c r="C62" s="145">
        <v>100</v>
      </c>
      <c r="D62" s="143">
        <v>1</v>
      </c>
      <c r="E62" s="143">
        <v>0</v>
      </c>
      <c r="F62" s="143">
        <v>0.06</v>
      </c>
      <c r="G62" s="143">
        <v>0</v>
      </c>
      <c r="I62" s="155">
        <f t="shared" si="0"/>
        <v>7</v>
      </c>
      <c r="J62" s="155">
        <f t="shared" si="1"/>
        <v>0.76800000000000002</v>
      </c>
      <c r="K62" s="49"/>
    </row>
    <row r="63" spans="1:11">
      <c r="A63" s="49"/>
      <c r="B63" s="473"/>
      <c r="C63" s="145">
        <v>150</v>
      </c>
      <c r="D63" s="143">
        <v>1</v>
      </c>
      <c r="E63" s="143">
        <v>0</v>
      </c>
      <c r="F63" s="143">
        <v>0.2</v>
      </c>
      <c r="G63" s="143">
        <v>0</v>
      </c>
      <c r="I63" s="155">
        <f t="shared" si="0"/>
        <v>7</v>
      </c>
      <c r="J63" s="155">
        <f t="shared" si="1"/>
        <v>2.5600000000000005</v>
      </c>
      <c r="K63" s="49"/>
    </row>
    <row r="64" spans="1:11">
      <c r="A64" s="49"/>
      <c r="B64" s="473"/>
      <c r="C64" s="145">
        <v>200</v>
      </c>
      <c r="D64" s="143">
        <v>1</v>
      </c>
      <c r="E64" s="143">
        <v>0</v>
      </c>
      <c r="F64" s="143">
        <v>0.4</v>
      </c>
      <c r="G64" s="143">
        <v>0</v>
      </c>
      <c r="I64" s="155">
        <f t="shared" si="0"/>
        <v>7</v>
      </c>
      <c r="J64" s="155">
        <f t="shared" si="1"/>
        <v>5.120000000000001</v>
      </c>
      <c r="K64" s="49"/>
    </row>
    <row r="65" spans="1:11">
      <c r="A65" s="49"/>
      <c r="B65" s="473"/>
      <c r="C65" s="145">
        <v>250</v>
      </c>
      <c r="D65" s="143">
        <v>1</v>
      </c>
      <c r="E65" s="143">
        <v>0</v>
      </c>
      <c r="F65" s="143">
        <v>0.78</v>
      </c>
      <c r="G65" s="143">
        <v>0</v>
      </c>
      <c r="I65" s="155">
        <f t="shared" si="0"/>
        <v>7</v>
      </c>
      <c r="J65" s="155">
        <f t="shared" si="1"/>
        <v>9.9840000000000018</v>
      </c>
      <c r="K65" s="49"/>
    </row>
    <row r="66" spans="1:11">
      <c r="A66" s="49"/>
      <c r="B66" s="473"/>
      <c r="C66" s="145">
        <v>300</v>
      </c>
      <c r="D66" s="143">
        <v>1</v>
      </c>
      <c r="E66" s="143">
        <v>0</v>
      </c>
      <c r="F66" s="143">
        <v>1</v>
      </c>
      <c r="G66" s="143">
        <v>0.05</v>
      </c>
      <c r="I66" s="155">
        <f t="shared" si="0"/>
        <v>7</v>
      </c>
      <c r="J66" s="155">
        <f t="shared" si="1"/>
        <v>13.49</v>
      </c>
      <c r="K66" s="49"/>
    </row>
    <row r="67" spans="1:11">
      <c r="A67" s="49"/>
      <c r="B67" s="473">
        <v>150</v>
      </c>
      <c r="C67" s="145">
        <v>150</v>
      </c>
      <c r="D67" s="143">
        <v>1</v>
      </c>
      <c r="E67" s="143">
        <v>0</v>
      </c>
      <c r="F67" s="143">
        <v>0.2</v>
      </c>
      <c r="G67" s="143">
        <v>0</v>
      </c>
      <c r="I67" s="155">
        <f t="shared" si="0"/>
        <v>7</v>
      </c>
      <c r="J67" s="155">
        <f t="shared" si="1"/>
        <v>2.5600000000000005</v>
      </c>
      <c r="K67" s="49"/>
    </row>
    <row r="68" spans="1:11">
      <c r="A68" s="49"/>
      <c r="B68" s="473"/>
      <c r="C68" s="145">
        <v>200</v>
      </c>
      <c r="D68" s="143">
        <v>1</v>
      </c>
      <c r="E68" s="143">
        <v>0</v>
      </c>
      <c r="F68" s="143">
        <v>0.4</v>
      </c>
      <c r="G68" s="143">
        <v>0</v>
      </c>
      <c r="I68" s="155">
        <f t="shared" si="0"/>
        <v>7</v>
      </c>
      <c r="J68" s="155">
        <f t="shared" si="1"/>
        <v>5.120000000000001</v>
      </c>
      <c r="K68" s="49"/>
    </row>
    <row r="69" spans="1:11">
      <c r="A69" s="49"/>
      <c r="B69" s="473"/>
      <c r="C69" s="145">
        <v>250</v>
      </c>
      <c r="D69" s="143">
        <v>1</v>
      </c>
      <c r="E69" s="143">
        <v>0</v>
      </c>
      <c r="F69" s="143">
        <v>0.82</v>
      </c>
      <c r="G69" s="143">
        <v>0</v>
      </c>
      <c r="I69" s="155">
        <f t="shared" si="0"/>
        <v>7</v>
      </c>
      <c r="J69" s="155">
        <f t="shared" si="1"/>
        <v>10.496</v>
      </c>
      <c r="K69" s="49"/>
    </row>
    <row r="70" spans="1:11">
      <c r="A70" s="49"/>
      <c r="B70" s="473"/>
      <c r="C70" s="145">
        <v>300</v>
      </c>
      <c r="D70" s="143">
        <v>1</v>
      </c>
      <c r="E70" s="143">
        <v>0</v>
      </c>
      <c r="F70" s="143">
        <v>1</v>
      </c>
      <c r="G70" s="143">
        <v>0.06</v>
      </c>
      <c r="I70" s="155">
        <f t="shared" si="0"/>
        <v>7</v>
      </c>
      <c r="J70" s="155">
        <f t="shared" si="1"/>
        <v>13.628</v>
      </c>
      <c r="K70" s="49"/>
    </row>
    <row r="71" spans="1:11">
      <c r="A71" s="49"/>
      <c r="B71" s="473">
        <v>200</v>
      </c>
      <c r="C71" s="145">
        <v>200</v>
      </c>
      <c r="D71" s="143">
        <v>1</v>
      </c>
      <c r="E71" s="143">
        <v>0</v>
      </c>
      <c r="F71" s="143">
        <v>0.4</v>
      </c>
      <c r="G71" s="143">
        <v>0</v>
      </c>
      <c r="I71" s="155">
        <f t="shared" si="0"/>
        <v>7</v>
      </c>
      <c r="J71" s="155">
        <f t="shared" si="1"/>
        <v>5.120000000000001</v>
      </c>
      <c r="K71" s="49"/>
    </row>
    <row r="72" spans="1:11">
      <c r="A72" s="49"/>
      <c r="B72" s="473"/>
      <c r="C72" s="145">
        <v>250</v>
      </c>
      <c r="D72" s="143">
        <v>1</v>
      </c>
      <c r="E72" s="143">
        <v>0</v>
      </c>
      <c r="F72" s="143">
        <v>0.82</v>
      </c>
      <c r="G72" s="143">
        <v>0</v>
      </c>
      <c r="I72" s="155">
        <f t="shared" si="0"/>
        <v>7</v>
      </c>
      <c r="J72" s="155">
        <f t="shared" si="1"/>
        <v>10.496</v>
      </c>
      <c r="K72" s="49"/>
    </row>
    <row r="73" spans="1:11">
      <c r="A73" s="49"/>
      <c r="B73" s="473"/>
      <c r="C73" s="145">
        <v>300</v>
      </c>
      <c r="D73" s="143">
        <v>1</v>
      </c>
      <c r="E73" s="143">
        <v>0</v>
      </c>
      <c r="F73" s="143">
        <v>1</v>
      </c>
      <c r="G73" s="143">
        <v>7.0000000000000007E-2</v>
      </c>
      <c r="I73" s="155">
        <f t="shared" si="0"/>
        <v>7</v>
      </c>
      <c r="J73" s="155">
        <f t="shared" si="1"/>
        <v>13.766000000000002</v>
      </c>
      <c r="K73" s="49"/>
    </row>
    <row r="74" spans="1:11">
      <c r="A74" s="49"/>
      <c r="B74" s="49"/>
      <c r="C74" s="49"/>
      <c r="D74" s="49"/>
      <c r="E74" s="49"/>
      <c r="F74" s="49"/>
      <c r="G74" s="49"/>
      <c r="K74" s="49"/>
    </row>
    <row r="75" spans="1:11">
      <c r="A75" s="49"/>
      <c r="B75" s="150" t="s">
        <v>195</v>
      </c>
      <c r="I75" s="49"/>
      <c r="J75" s="49"/>
      <c r="K75" s="49"/>
    </row>
    <row r="76" spans="1:11">
      <c r="A76" s="49"/>
      <c r="B76" s="150"/>
      <c r="K76" s="49"/>
    </row>
    <row r="77" spans="1:11">
      <c r="A77" s="49"/>
      <c r="B77" s="145" t="s">
        <v>194</v>
      </c>
      <c r="C77" s="154" t="s">
        <v>193</v>
      </c>
      <c r="D77" s="154" t="s">
        <v>192</v>
      </c>
      <c r="E77" s="154" t="s">
        <v>191</v>
      </c>
      <c r="F77" s="144" t="s">
        <v>190</v>
      </c>
      <c r="K77" s="49"/>
    </row>
    <row r="78" spans="1:11">
      <c r="A78" s="49"/>
      <c r="B78" s="145" t="s">
        <v>107</v>
      </c>
      <c r="C78" s="16"/>
      <c r="D78" s="16"/>
      <c r="E78" s="16"/>
      <c r="F78" s="153" t="s">
        <v>189</v>
      </c>
      <c r="K78" s="49"/>
    </row>
    <row r="79" spans="1:11">
      <c r="A79" s="49"/>
      <c r="B79" s="145"/>
      <c r="C79" s="16"/>
      <c r="D79" s="16"/>
      <c r="E79" s="16"/>
      <c r="F79" s="48"/>
      <c r="K79" s="49"/>
    </row>
    <row r="80" spans="1:11">
      <c r="A80" s="49"/>
      <c r="B80" s="145">
        <v>50</v>
      </c>
      <c r="C80" s="145">
        <v>24</v>
      </c>
      <c r="D80" s="145" t="s">
        <v>186</v>
      </c>
      <c r="E80" s="145" t="s">
        <v>185</v>
      </c>
      <c r="F80" s="145">
        <v>20.100000000000001</v>
      </c>
      <c r="K80" s="49"/>
    </row>
    <row r="81" spans="1:11">
      <c r="A81" s="49"/>
      <c r="B81" s="145"/>
      <c r="C81" s="145">
        <v>36</v>
      </c>
      <c r="D81" s="145" t="s">
        <v>183</v>
      </c>
      <c r="E81" s="145" t="s">
        <v>188</v>
      </c>
      <c r="F81" s="145">
        <v>25.3</v>
      </c>
      <c r="K81" s="49"/>
    </row>
    <row r="82" spans="1:11" ht="14.4" thickBot="1">
      <c r="A82" s="49"/>
      <c r="B82" s="145"/>
      <c r="C82" s="145"/>
      <c r="D82" s="145"/>
      <c r="E82" s="145"/>
      <c r="F82" s="152">
        <f>F81+F80</f>
        <v>45.400000000000006</v>
      </c>
      <c r="K82" s="49"/>
    </row>
    <row r="83" spans="1:11">
      <c r="A83" s="49"/>
      <c r="B83" s="145"/>
      <c r="C83" s="145"/>
      <c r="D83" s="145"/>
      <c r="E83" s="145"/>
      <c r="F83" s="145"/>
      <c r="K83" s="49"/>
    </row>
    <row r="84" spans="1:11">
      <c r="A84" s="49"/>
      <c r="B84" s="145">
        <v>100</v>
      </c>
      <c r="C84" s="145">
        <v>24</v>
      </c>
      <c r="D84" s="145" t="s">
        <v>186</v>
      </c>
      <c r="E84" s="145" t="s">
        <v>185</v>
      </c>
      <c r="F84" s="145">
        <v>20.100000000000001</v>
      </c>
      <c r="K84" s="49"/>
    </row>
    <row r="85" spans="1:11">
      <c r="A85" s="49"/>
      <c r="B85" s="145"/>
      <c r="C85" s="145">
        <v>36</v>
      </c>
      <c r="D85" s="145" t="s">
        <v>183</v>
      </c>
      <c r="E85" s="145" t="s">
        <v>188</v>
      </c>
      <c r="F85" s="145">
        <v>25.3</v>
      </c>
      <c r="K85" s="49"/>
    </row>
    <row r="86" spans="1:11">
      <c r="A86" s="49"/>
      <c r="B86" s="145"/>
      <c r="C86" s="145">
        <v>36</v>
      </c>
      <c r="D86" s="145" t="s">
        <v>187</v>
      </c>
      <c r="E86" s="145" t="s">
        <v>182</v>
      </c>
      <c r="F86" s="145">
        <v>32.799999999999997</v>
      </c>
      <c r="K86" s="49"/>
    </row>
    <row r="87" spans="1:11" ht="14.4" thickBot="1">
      <c r="A87" s="49"/>
      <c r="B87" s="145"/>
      <c r="C87" s="145"/>
      <c r="D87" s="145"/>
      <c r="E87" s="145"/>
      <c r="F87" s="152">
        <f>SUM(F84:F86)</f>
        <v>78.2</v>
      </c>
      <c r="K87" s="49"/>
    </row>
    <row r="88" spans="1:11">
      <c r="A88" s="49"/>
      <c r="B88" s="145"/>
      <c r="C88" s="145"/>
      <c r="D88" s="145"/>
      <c r="E88" s="145"/>
      <c r="F88" s="145"/>
      <c r="K88" s="49"/>
    </row>
    <row r="89" spans="1:11">
      <c r="A89" s="49"/>
      <c r="B89" s="145">
        <v>150</v>
      </c>
      <c r="C89" s="145">
        <v>36</v>
      </c>
      <c r="D89" s="145" t="s">
        <v>186</v>
      </c>
      <c r="E89" s="145" t="s">
        <v>185</v>
      </c>
      <c r="F89" s="145">
        <v>20.100000000000001</v>
      </c>
      <c r="K89" s="49"/>
    </row>
    <row r="90" spans="1:11">
      <c r="A90" s="49"/>
      <c r="B90" s="145"/>
      <c r="C90" s="145">
        <v>36</v>
      </c>
      <c r="D90" s="145" t="s">
        <v>183</v>
      </c>
      <c r="E90" s="145" t="s">
        <v>184</v>
      </c>
      <c r="F90" s="145">
        <v>103.3</v>
      </c>
      <c r="K90" s="49"/>
    </row>
    <row r="91" spans="1:11" ht="14.4" thickBot="1">
      <c r="A91" s="49"/>
      <c r="B91" s="145"/>
      <c r="C91" s="145"/>
      <c r="D91" s="145"/>
      <c r="E91" s="145"/>
      <c r="F91" s="152">
        <f>F90+F89</f>
        <v>123.4</v>
      </c>
      <c r="K91" s="49"/>
    </row>
    <row r="92" spans="1:11">
      <c r="A92" s="49"/>
      <c r="B92" s="145"/>
      <c r="C92" s="145"/>
      <c r="D92" s="145"/>
      <c r="E92" s="145"/>
      <c r="F92" s="145"/>
      <c r="K92" s="49"/>
    </row>
    <row r="93" spans="1:11">
      <c r="A93" s="49"/>
      <c r="B93" s="145">
        <v>200</v>
      </c>
      <c r="C93" s="145">
        <v>42</v>
      </c>
      <c r="D93" s="145" t="s">
        <v>186</v>
      </c>
      <c r="E93" s="145" t="s">
        <v>185</v>
      </c>
      <c r="F93" s="145">
        <v>20.100000000000001</v>
      </c>
      <c r="K93" s="49"/>
    </row>
    <row r="94" spans="1:11">
      <c r="A94" s="49"/>
      <c r="B94" s="16"/>
      <c r="C94" s="145">
        <v>42</v>
      </c>
      <c r="D94" s="145" t="s">
        <v>182</v>
      </c>
      <c r="E94" s="145" t="s">
        <v>184</v>
      </c>
      <c r="F94" s="145">
        <v>32.700000000000003</v>
      </c>
      <c r="K94" s="49"/>
    </row>
    <row r="95" spans="1:11">
      <c r="A95" s="49"/>
      <c r="C95" s="145">
        <v>48</v>
      </c>
      <c r="D95" s="145" t="s">
        <v>183</v>
      </c>
      <c r="E95" s="145" t="s">
        <v>182</v>
      </c>
      <c r="F95" s="145">
        <v>70.7</v>
      </c>
      <c r="K95" s="49"/>
    </row>
    <row r="96" spans="1:11" ht="14.4" thickBot="1">
      <c r="A96" s="49"/>
      <c r="F96" s="152">
        <f>F95+F94+F93</f>
        <v>123.5</v>
      </c>
      <c r="K96" s="49"/>
    </row>
    <row r="97" spans="1:11">
      <c r="A97" s="49"/>
      <c r="K97" s="49"/>
    </row>
    <row r="98" spans="1:11">
      <c r="A98" s="49"/>
      <c r="B98" s="151"/>
      <c r="C98" s="151"/>
      <c r="D98" s="151"/>
      <c r="E98" s="151"/>
      <c r="F98" s="151"/>
      <c r="G98" s="151"/>
      <c r="H98" s="151"/>
      <c r="K98" s="49"/>
    </row>
    <row r="99" spans="1:11">
      <c r="A99" s="49"/>
      <c r="I99" s="16"/>
      <c r="J99" s="16"/>
      <c r="K99" s="49"/>
    </row>
    <row r="100" spans="1:11">
      <c r="A100" s="49"/>
      <c r="B100" s="150" t="s">
        <v>181</v>
      </c>
      <c r="I100" s="16"/>
      <c r="J100" s="16"/>
      <c r="K100" s="49"/>
    </row>
    <row r="101" spans="1:11">
      <c r="A101" s="49"/>
      <c r="B101" s="150"/>
      <c r="K101" s="49"/>
    </row>
    <row r="102" spans="1:11" ht="52.8">
      <c r="A102" s="49"/>
      <c r="B102" s="149"/>
      <c r="C102" s="148"/>
      <c r="D102" s="148" t="s">
        <v>180</v>
      </c>
      <c r="E102" s="145" t="s">
        <v>179</v>
      </c>
      <c r="G102" s="105" t="s">
        <v>178</v>
      </c>
      <c r="H102" s="16"/>
      <c r="K102" s="49"/>
    </row>
    <row r="103" spans="1:11">
      <c r="A103" s="49"/>
      <c r="B103" s="147" t="s">
        <v>113</v>
      </c>
      <c r="C103" s="147" t="s">
        <v>112</v>
      </c>
      <c r="D103" s="146"/>
      <c r="E103" s="146"/>
      <c r="F103" s="144" t="s">
        <v>177</v>
      </c>
      <c r="G103" s="144" t="s">
        <v>176</v>
      </c>
      <c r="H103" s="94"/>
      <c r="K103" s="49"/>
    </row>
    <row r="104" spans="1:11">
      <c r="A104" s="49"/>
      <c r="B104" s="145" t="s">
        <v>107</v>
      </c>
      <c r="C104" s="145" t="s">
        <v>106</v>
      </c>
      <c r="D104" s="145"/>
      <c r="F104" s="144"/>
      <c r="G104" s="144"/>
      <c r="K104" s="49"/>
    </row>
    <row r="105" spans="1:11">
      <c r="A105" s="49"/>
      <c r="K105" s="49"/>
    </row>
    <row r="106" spans="1:11">
      <c r="A106" s="49"/>
      <c r="B106" s="13">
        <v>50</v>
      </c>
      <c r="D106" s="143">
        <v>1</v>
      </c>
      <c r="F106" s="105">
        <f>D106*1+E106*6</f>
        <v>1</v>
      </c>
      <c r="G106" s="142">
        <v>0</v>
      </c>
      <c r="K106" s="49"/>
    </row>
    <row r="107" spans="1:11">
      <c r="A107" s="49"/>
      <c r="B107" s="13">
        <v>100</v>
      </c>
      <c r="D107" s="143">
        <v>1</v>
      </c>
      <c r="F107" s="105">
        <f>D107*1+E107*6</f>
        <v>1</v>
      </c>
      <c r="G107" s="142">
        <v>0</v>
      </c>
      <c r="K107" s="49"/>
    </row>
    <row r="108" spans="1:11">
      <c r="A108" s="49"/>
      <c r="D108" s="143"/>
      <c r="F108" s="105"/>
      <c r="G108" s="142"/>
      <c r="K108" s="49"/>
    </row>
    <row r="109" spans="1:11">
      <c r="A109" s="49"/>
      <c r="B109" s="13">
        <v>150</v>
      </c>
      <c r="E109" s="143">
        <v>1</v>
      </c>
      <c r="F109" s="105">
        <f>D109*1+E109*6</f>
        <v>6</v>
      </c>
      <c r="G109" s="142">
        <v>0</v>
      </c>
      <c r="K109" s="49"/>
    </row>
    <row r="110" spans="1:11">
      <c r="A110" s="49"/>
      <c r="B110" s="13">
        <v>200</v>
      </c>
      <c r="E110" s="143">
        <v>1</v>
      </c>
      <c r="F110" s="105">
        <f>D110*1+E110*6</f>
        <v>6</v>
      </c>
      <c r="G110" s="142">
        <v>0</v>
      </c>
      <c r="K110" s="49"/>
    </row>
    <row r="111" spans="1:11">
      <c r="A111" s="49"/>
      <c r="K111" s="49"/>
    </row>
    <row r="112" spans="1:11" s="87" customFormat="1"/>
    <row r="113" spans="1:28">
      <c r="A113" s="49"/>
      <c r="K113" s="49"/>
      <c r="T113" s="49"/>
      <c r="U113" s="49"/>
      <c r="V113" s="49"/>
      <c r="W113" s="49"/>
      <c r="X113" s="49"/>
      <c r="Y113" s="49"/>
      <c r="Z113" s="49"/>
      <c r="AA113" s="49"/>
      <c r="AB113" s="49"/>
    </row>
    <row r="114" spans="1:28">
      <c r="A114" s="49"/>
      <c r="K114" s="49"/>
      <c r="T114" s="49"/>
      <c r="U114" s="49"/>
      <c r="V114" s="49"/>
      <c r="W114" s="49"/>
      <c r="X114" s="49"/>
      <c r="Y114" s="49"/>
      <c r="Z114" s="49"/>
      <c r="AA114" s="49"/>
      <c r="AB114" s="49"/>
    </row>
    <row r="115" spans="1:28">
      <c r="A115" s="49"/>
      <c r="K115" s="125" t="s">
        <v>175</v>
      </c>
      <c r="T115" s="49"/>
      <c r="U115" s="49"/>
      <c r="V115" s="49"/>
      <c r="W115" s="49"/>
      <c r="X115" s="49"/>
      <c r="Y115" s="49"/>
      <c r="Z115" s="49"/>
      <c r="AA115" s="49"/>
      <c r="AB115" s="49"/>
    </row>
    <row r="116" spans="1:28">
      <c r="A116" s="49"/>
      <c r="B116" s="124" t="s">
        <v>174</v>
      </c>
      <c r="K116" s="49"/>
      <c r="T116" s="49"/>
      <c r="U116" s="49"/>
      <c r="V116" s="49"/>
      <c r="W116" s="49"/>
      <c r="X116" s="49"/>
      <c r="Y116" s="49"/>
      <c r="Z116" s="49"/>
      <c r="AA116" s="49"/>
      <c r="AB116" s="49"/>
    </row>
    <row r="117" spans="1:28">
      <c r="A117" s="49"/>
      <c r="B117" s="43"/>
      <c r="K117" s="49"/>
      <c r="T117" s="49"/>
      <c r="U117" s="49"/>
      <c r="V117" s="49"/>
      <c r="W117" s="49"/>
      <c r="X117" s="49"/>
      <c r="Y117" s="49"/>
      <c r="Z117" s="49"/>
      <c r="AA117" s="49"/>
      <c r="AB117" s="49"/>
    </row>
    <row r="118" spans="1:28">
      <c r="A118" s="49"/>
      <c r="B118" s="129" t="s">
        <v>173</v>
      </c>
      <c r="C118" s="94"/>
      <c r="D118" s="94"/>
      <c r="E118" s="94"/>
      <c r="K118" s="49"/>
      <c r="T118" s="49"/>
      <c r="U118" s="49"/>
      <c r="V118" s="49"/>
      <c r="W118" s="49"/>
      <c r="X118" s="49"/>
      <c r="Y118" s="49"/>
      <c r="Z118" s="49"/>
      <c r="AA118" s="49"/>
      <c r="AB118" s="49"/>
    </row>
    <row r="119" spans="1:28">
      <c r="A119" s="49"/>
      <c r="B119" s="94" t="s">
        <v>172</v>
      </c>
      <c r="C119" s="94"/>
      <c r="D119" s="107">
        <f>D15</f>
        <v>14101.476000000001</v>
      </c>
      <c r="E119" s="141" t="s">
        <v>171</v>
      </c>
      <c r="K119" s="49"/>
      <c r="T119" s="49"/>
      <c r="U119" s="49"/>
      <c r="V119" s="49"/>
      <c r="W119" s="49"/>
      <c r="X119" s="49"/>
      <c r="Y119" s="49"/>
      <c r="Z119" s="49"/>
      <c r="AA119" s="49"/>
      <c r="AB119" s="49"/>
    </row>
    <row r="120" spans="1:28">
      <c r="A120" s="49"/>
      <c r="B120" s="94" t="s">
        <v>170</v>
      </c>
      <c r="C120" s="94"/>
      <c r="D120" s="107">
        <f>D16</f>
        <v>146</v>
      </c>
      <c r="E120" s="141" t="s">
        <v>169</v>
      </c>
      <c r="T120" s="49"/>
      <c r="U120" s="49"/>
      <c r="V120" s="49"/>
      <c r="W120" s="49"/>
      <c r="X120" s="49"/>
      <c r="Y120" s="49"/>
      <c r="Z120" s="49"/>
      <c r="AA120" s="49"/>
      <c r="AB120" s="49"/>
    </row>
    <row r="121" spans="1:28">
      <c r="A121" s="49"/>
      <c r="B121" s="94" t="s">
        <v>168</v>
      </c>
      <c r="C121" s="94"/>
      <c r="D121" s="107">
        <f>D17</f>
        <v>2337</v>
      </c>
      <c r="E121" s="141" t="s">
        <v>103</v>
      </c>
      <c r="T121" s="49"/>
      <c r="U121" s="49"/>
      <c r="V121" s="49"/>
      <c r="W121" s="49"/>
      <c r="X121" s="49"/>
      <c r="Y121" s="49"/>
      <c r="Z121" s="49"/>
      <c r="AA121" s="49"/>
      <c r="AB121" s="49"/>
    </row>
    <row r="122" spans="1:28">
      <c r="A122" s="49"/>
      <c r="B122" s="94" t="s">
        <v>167</v>
      </c>
      <c r="C122" s="94"/>
      <c r="D122" s="107">
        <f>D18</f>
        <v>27095983</v>
      </c>
      <c r="E122" s="141" t="s">
        <v>166</v>
      </c>
      <c r="T122" s="49"/>
      <c r="U122" s="49"/>
      <c r="V122" s="49"/>
      <c r="W122" s="49"/>
      <c r="X122" s="49"/>
      <c r="Y122" s="49"/>
      <c r="Z122" s="49"/>
      <c r="AA122" s="49"/>
      <c r="AB122" s="49"/>
    </row>
    <row r="123" spans="1:28">
      <c r="A123" s="49"/>
      <c r="B123" s="94"/>
      <c r="C123" s="94"/>
      <c r="D123" s="107"/>
      <c r="E123" s="141"/>
      <c r="T123" s="49"/>
      <c r="U123" s="49"/>
      <c r="V123" s="49"/>
      <c r="W123" s="49"/>
      <c r="X123" s="49"/>
      <c r="Y123" s="49"/>
      <c r="Z123" s="49"/>
      <c r="AA123" s="49"/>
      <c r="AB123" s="49"/>
    </row>
    <row r="124" spans="1:28">
      <c r="A124" s="49"/>
      <c r="B124" s="94"/>
      <c r="C124" s="94"/>
      <c r="D124" s="107"/>
      <c r="E124" s="141"/>
      <c r="T124" s="49"/>
      <c r="U124" s="49"/>
      <c r="V124" s="49"/>
      <c r="W124" s="49"/>
      <c r="X124" s="49"/>
      <c r="Y124" s="49"/>
      <c r="Z124" s="49"/>
      <c r="AA124" s="49"/>
      <c r="AB124" s="49"/>
    </row>
    <row r="125" spans="1:28">
      <c r="A125" s="49"/>
      <c r="B125" s="129" t="s">
        <v>165</v>
      </c>
      <c r="C125" s="94"/>
      <c r="D125" s="107"/>
      <c r="E125" s="141"/>
      <c r="T125" s="49"/>
      <c r="U125" s="49"/>
      <c r="V125" s="49"/>
      <c r="W125" s="49"/>
      <c r="X125" s="49"/>
      <c r="Y125" s="49"/>
      <c r="Z125" s="49"/>
      <c r="AA125" s="49"/>
      <c r="AB125" s="49"/>
    </row>
    <row r="126" spans="1:28">
      <c r="A126" s="49"/>
      <c r="B126" s="139" t="s">
        <v>164</v>
      </c>
      <c r="C126" s="139"/>
      <c r="D126" s="138" t="e">
        <f>E35*1000</f>
        <v>#REF!</v>
      </c>
      <c r="E126" s="137" t="s">
        <v>163</v>
      </c>
      <c r="F126" s="49"/>
      <c r="T126" s="49"/>
      <c r="U126" s="49"/>
      <c r="V126" s="49"/>
      <c r="W126" s="49"/>
      <c r="X126" s="49"/>
      <c r="Y126" s="49"/>
      <c r="Z126" s="49"/>
      <c r="AA126" s="49"/>
      <c r="AB126" s="49"/>
    </row>
    <row r="127" spans="1:28">
      <c r="A127" s="49"/>
      <c r="B127" s="139"/>
      <c r="C127" s="139"/>
      <c r="D127" s="139"/>
      <c r="E127" s="140"/>
      <c r="F127" s="49"/>
      <c r="T127" s="49"/>
      <c r="U127" s="49"/>
      <c r="V127" s="49"/>
      <c r="W127" s="49"/>
      <c r="X127" s="49"/>
      <c r="Y127" s="49"/>
      <c r="Z127" s="49"/>
      <c r="AA127" s="49"/>
      <c r="AB127" s="49"/>
    </row>
    <row r="128" spans="1:28">
      <c r="A128" s="49"/>
      <c r="B128" s="139" t="s">
        <v>162</v>
      </c>
      <c r="C128" s="139"/>
      <c r="D128" s="133" t="e">
        <f>'Net Plant'!L8*1000</f>
        <v>#REF!</v>
      </c>
      <c r="E128" s="137" t="s">
        <v>161</v>
      </c>
      <c r="T128" s="49"/>
      <c r="U128" s="49"/>
      <c r="V128" s="49"/>
      <c r="W128" s="49"/>
      <c r="X128" s="49"/>
      <c r="Y128" s="49"/>
      <c r="Z128" s="49"/>
      <c r="AA128" s="49"/>
      <c r="AB128" s="49"/>
    </row>
    <row r="129" spans="1:28">
      <c r="A129" s="49"/>
      <c r="B129" s="139"/>
      <c r="C129" s="139"/>
      <c r="D129" s="138"/>
      <c r="E129" s="137"/>
      <c r="F129" s="49"/>
      <c r="T129" s="49"/>
      <c r="U129" s="49"/>
      <c r="V129" s="49"/>
      <c r="W129" s="49"/>
      <c r="X129" s="49"/>
      <c r="Y129" s="49"/>
      <c r="Z129" s="49"/>
      <c r="AA129" s="49"/>
      <c r="AB129" s="49"/>
    </row>
    <row r="130" spans="1:28">
      <c r="A130" s="49"/>
      <c r="B130" s="94"/>
      <c r="C130" s="94"/>
      <c r="D130" s="136"/>
      <c r="E130" s="102"/>
      <c r="T130" s="49"/>
      <c r="U130" s="49"/>
      <c r="V130" s="49"/>
      <c r="W130" s="49"/>
      <c r="X130" s="49"/>
      <c r="Y130" s="49"/>
      <c r="Z130" s="49"/>
      <c r="AA130" s="49"/>
      <c r="AB130" s="49"/>
    </row>
    <row r="131" spans="1:28">
      <c r="A131" s="49"/>
      <c r="B131" s="94"/>
      <c r="C131" s="94"/>
      <c r="D131" s="105" t="s">
        <v>160</v>
      </c>
      <c r="E131" s="102"/>
      <c r="F131" s="135" t="s">
        <v>159</v>
      </c>
      <c r="T131" s="49"/>
      <c r="U131" s="49"/>
      <c r="V131" s="49"/>
      <c r="W131" s="49"/>
      <c r="X131" s="49"/>
      <c r="Y131" s="49"/>
      <c r="Z131" s="49"/>
      <c r="AA131" s="49"/>
      <c r="AB131" s="49"/>
    </row>
    <row r="132" spans="1:28">
      <c r="A132" s="49"/>
      <c r="B132" s="94"/>
      <c r="C132" s="94"/>
      <c r="D132" s="110" t="s">
        <v>158</v>
      </c>
      <c r="E132" s="102"/>
      <c r="F132" s="110" t="s">
        <v>157</v>
      </c>
      <c r="T132" s="49"/>
      <c r="U132" s="49"/>
      <c r="V132" s="49"/>
      <c r="W132" s="49"/>
      <c r="X132" s="49"/>
      <c r="Y132" s="49"/>
      <c r="Z132" s="49"/>
      <c r="AA132" s="49"/>
      <c r="AB132" s="49"/>
    </row>
    <row r="133" spans="1:28">
      <c r="A133" s="49"/>
      <c r="B133" s="94" t="s">
        <v>156</v>
      </c>
      <c r="C133" s="94"/>
      <c r="D133" s="133" t="e">
        <f>'Net Plant'!L13*1000</f>
        <v>#REF!</v>
      </c>
      <c r="E133" s="102" t="s">
        <v>155</v>
      </c>
      <c r="F133" s="132" t="e">
        <f>D133/$D$128*$D$126</f>
        <v>#REF!</v>
      </c>
      <c r="G133" s="102" t="str">
        <f>"K = ("&amp;E133&amp;"/F) x E"</f>
        <v>K = (G/F) x E</v>
      </c>
      <c r="T133" s="49"/>
      <c r="U133" s="49"/>
      <c r="V133" s="49"/>
      <c r="W133" s="49"/>
      <c r="X133" s="49"/>
      <c r="Y133" s="49"/>
      <c r="Z133" s="49"/>
      <c r="AA133" s="49"/>
      <c r="AB133" s="49"/>
    </row>
    <row r="134" spans="1:28">
      <c r="A134" s="49"/>
      <c r="B134" s="94" t="s">
        <v>154</v>
      </c>
      <c r="C134" s="94"/>
      <c r="D134" s="133" t="e">
        <f>'Net Plant'!L14*1000</f>
        <v>#REF!</v>
      </c>
      <c r="E134" s="102" t="s">
        <v>153</v>
      </c>
      <c r="F134" s="132" t="e">
        <f>D134/$D$128*$D$126</f>
        <v>#REF!</v>
      </c>
      <c r="G134" s="102" t="str">
        <f>"L = ("&amp;E134&amp;"/F) x E"</f>
        <v>L = (H/F) x E</v>
      </c>
      <c r="T134" s="49"/>
      <c r="U134" s="49"/>
      <c r="V134" s="49"/>
      <c r="W134" s="49"/>
      <c r="X134" s="49"/>
      <c r="Y134" s="49"/>
      <c r="Z134" s="49"/>
      <c r="AA134" s="49"/>
      <c r="AB134" s="49"/>
    </row>
    <row r="135" spans="1:28">
      <c r="A135" s="49"/>
      <c r="B135" s="94" t="s">
        <v>152</v>
      </c>
      <c r="C135" s="94"/>
      <c r="D135" s="133" t="e">
        <f>'Net Plant'!L15*1000</f>
        <v>#REF!</v>
      </c>
      <c r="E135" s="102" t="s">
        <v>151</v>
      </c>
      <c r="F135" s="132" t="e">
        <f>D135/$D$128*$D$126</f>
        <v>#REF!</v>
      </c>
      <c r="G135" s="102" t="str">
        <f>"M = ("&amp;E135&amp;"/F) x E"</f>
        <v>M = (I/F) x E</v>
      </c>
      <c r="T135" s="49"/>
      <c r="U135" s="49"/>
      <c r="V135" s="49"/>
      <c r="W135" s="49"/>
      <c r="X135" s="49"/>
      <c r="Y135" s="49"/>
      <c r="Z135" s="49"/>
      <c r="AA135" s="49"/>
      <c r="AB135" s="49"/>
    </row>
    <row r="136" spans="1:28">
      <c r="A136" s="49"/>
      <c r="B136" s="94" t="s">
        <v>150</v>
      </c>
      <c r="C136" s="94"/>
      <c r="D136" s="133" t="e">
        <f>'Net Plant'!L16*1000</f>
        <v>#REF!</v>
      </c>
      <c r="E136" s="102" t="s">
        <v>149</v>
      </c>
      <c r="F136" s="132" t="e">
        <f>D136/$D$128*$D$126</f>
        <v>#REF!</v>
      </c>
      <c r="G136" s="102" t="str">
        <f>"N = ("&amp;E136&amp;"/F) x E"</f>
        <v>N = (J/F) x E</v>
      </c>
      <c r="T136" s="49"/>
      <c r="U136" s="49"/>
      <c r="V136" s="49"/>
      <c r="W136" s="49"/>
      <c r="X136" s="49"/>
      <c r="Y136" s="49"/>
      <c r="Z136" s="49"/>
      <c r="AA136" s="49"/>
      <c r="AB136" s="49"/>
    </row>
    <row r="137" spans="1:28">
      <c r="A137" s="49"/>
      <c r="B137" s="94"/>
      <c r="C137" s="94"/>
      <c r="D137" s="131"/>
      <c r="E137" s="130"/>
      <c r="T137" s="49"/>
      <c r="U137" s="49"/>
      <c r="V137" s="49"/>
      <c r="W137" s="49"/>
      <c r="X137" s="49"/>
      <c r="Y137" s="49"/>
      <c r="Z137" s="49"/>
      <c r="AA137" s="49"/>
      <c r="AB137" s="49"/>
    </row>
    <row r="138" spans="1:28">
      <c r="A138" s="49"/>
      <c r="B138" s="94"/>
      <c r="C138" s="94"/>
      <c r="D138" s="131"/>
      <c r="E138" s="130"/>
      <c r="T138" s="49"/>
      <c r="U138" s="49"/>
      <c r="V138" s="49"/>
      <c r="W138" s="49"/>
      <c r="X138" s="49"/>
      <c r="Y138" s="49"/>
      <c r="Z138" s="49"/>
      <c r="AA138" s="49"/>
      <c r="AB138" s="49"/>
    </row>
    <row r="139" spans="1:28">
      <c r="A139" s="49"/>
      <c r="B139" s="129" t="s">
        <v>148</v>
      </c>
      <c r="C139" s="94"/>
      <c r="D139" s="94"/>
      <c r="E139" s="105"/>
      <c r="T139" s="49"/>
      <c r="U139" s="49"/>
      <c r="V139" s="49"/>
      <c r="W139" s="49"/>
      <c r="X139" s="49"/>
      <c r="Y139" s="49"/>
      <c r="Z139" s="49"/>
      <c r="AA139" s="49"/>
      <c r="AB139" s="49"/>
    </row>
    <row r="140" spans="1:28">
      <c r="A140" s="49"/>
      <c r="B140" s="94" t="s">
        <v>147</v>
      </c>
      <c r="C140" s="94" t="s">
        <v>146</v>
      </c>
      <c r="D140" s="136" t="e">
        <f>F133/D119</f>
        <v>#REF!</v>
      </c>
      <c r="E140" s="102" t="s">
        <v>145</v>
      </c>
      <c r="T140" s="49"/>
      <c r="U140" s="49"/>
      <c r="V140" s="49"/>
      <c r="W140" s="49"/>
      <c r="X140" s="49"/>
      <c r="Y140" s="49"/>
      <c r="Z140" s="49"/>
      <c r="AA140" s="49"/>
      <c r="AB140" s="49"/>
    </row>
    <row r="141" spans="1:28">
      <c r="A141" s="49"/>
      <c r="B141" s="94" t="s">
        <v>144</v>
      </c>
      <c r="C141" s="94" t="s">
        <v>143</v>
      </c>
      <c r="D141" s="136" t="e">
        <f>F134/D120</f>
        <v>#REF!</v>
      </c>
      <c r="E141" s="102" t="s">
        <v>142</v>
      </c>
      <c r="T141" s="49"/>
      <c r="U141" s="49"/>
      <c r="V141" s="49"/>
      <c r="W141" s="49"/>
      <c r="X141" s="49"/>
      <c r="Y141" s="49"/>
      <c r="Z141" s="49"/>
      <c r="AA141" s="49"/>
      <c r="AB141" s="49"/>
    </row>
    <row r="142" spans="1:28">
      <c r="A142" s="49"/>
      <c r="B142" s="94" t="s">
        <v>141</v>
      </c>
      <c r="C142" s="94" t="s">
        <v>140</v>
      </c>
      <c r="D142" s="136" t="e">
        <f>F135/D121</f>
        <v>#REF!</v>
      </c>
      <c r="E142" s="102" t="s">
        <v>139</v>
      </c>
      <c r="T142" s="49"/>
      <c r="U142" s="49"/>
      <c r="V142" s="49"/>
      <c r="W142" s="49"/>
      <c r="X142" s="49"/>
      <c r="Y142" s="49"/>
      <c r="Z142" s="49"/>
      <c r="AA142" s="49"/>
      <c r="AB142" s="49"/>
    </row>
    <row r="143" spans="1:28">
      <c r="A143" s="49"/>
      <c r="B143" s="94" t="s">
        <v>138</v>
      </c>
      <c r="C143" s="94" t="s">
        <v>137</v>
      </c>
      <c r="D143" s="127" t="e">
        <f>F136/D122</f>
        <v>#REF!</v>
      </c>
      <c r="E143" s="102" t="s">
        <v>136</v>
      </c>
      <c r="T143" s="49"/>
      <c r="U143" s="49"/>
      <c r="V143" s="49"/>
      <c r="W143" s="49"/>
      <c r="X143" s="49"/>
      <c r="Y143" s="49"/>
      <c r="Z143" s="49"/>
      <c r="AA143" s="49"/>
      <c r="AB143" s="49"/>
    </row>
    <row r="144" spans="1:28">
      <c r="A144" s="49"/>
      <c r="B144" s="94" t="s">
        <v>135</v>
      </c>
      <c r="C144" s="94" t="s">
        <v>97</v>
      </c>
      <c r="D144" s="126" t="e">
        <f>D44</f>
        <v>#REF!</v>
      </c>
      <c r="E144" s="102" t="s">
        <v>134</v>
      </c>
      <c r="F144" s="94"/>
      <c r="T144" s="49"/>
      <c r="U144" s="49"/>
      <c r="V144" s="49"/>
      <c r="W144" s="49"/>
      <c r="X144" s="49"/>
      <c r="Y144" s="49"/>
      <c r="Z144" s="49"/>
      <c r="AA144" s="49"/>
      <c r="AB144" s="49"/>
    </row>
    <row r="145" spans="1:28">
      <c r="A145" s="49"/>
      <c r="T145" s="49"/>
      <c r="U145" s="49"/>
      <c r="V145" s="49"/>
      <c r="W145" s="49"/>
      <c r="X145" s="49"/>
      <c r="Y145" s="49"/>
      <c r="Z145" s="49"/>
      <c r="AA145" s="49"/>
      <c r="AB145" s="49"/>
    </row>
    <row r="146" spans="1:28">
      <c r="T146" s="49"/>
      <c r="U146" s="49"/>
      <c r="V146" s="49"/>
      <c r="W146" s="49"/>
      <c r="X146" s="49"/>
      <c r="Y146" s="49"/>
      <c r="Z146" s="49"/>
      <c r="AA146" s="49"/>
      <c r="AB146" s="49"/>
    </row>
    <row r="147" spans="1:28" s="87" customFormat="1"/>
    <row r="148" spans="1:28">
      <c r="T148" s="49"/>
      <c r="U148" s="49"/>
      <c r="V148" s="49"/>
      <c r="W148" s="49"/>
      <c r="X148" s="49"/>
      <c r="Y148" s="49"/>
      <c r="Z148" s="49"/>
      <c r="AA148" s="49"/>
      <c r="AB148" s="49"/>
    </row>
    <row r="149" spans="1:28">
      <c r="A149" s="43" t="s">
        <v>133</v>
      </c>
      <c r="B149" s="94"/>
      <c r="C149" s="94"/>
      <c r="D149" s="94"/>
      <c r="E149" s="94"/>
      <c r="F149" s="94"/>
      <c r="G149" s="94"/>
      <c r="H149" s="94"/>
      <c r="I149" s="94"/>
      <c r="J149" s="94"/>
      <c r="K149" s="94"/>
      <c r="L149" s="94"/>
      <c r="M149" s="94"/>
      <c r="N149" s="94"/>
      <c r="T149" s="49"/>
      <c r="U149" s="49"/>
      <c r="V149" s="49"/>
      <c r="W149" s="49"/>
      <c r="X149" s="49"/>
      <c r="Y149" s="49"/>
      <c r="Z149" s="49"/>
      <c r="AA149" s="49"/>
      <c r="AB149" s="49"/>
    </row>
    <row r="150" spans="1:28">
      <c r="A150" s="9" t="s">
        <v>132</v>
      </c>
      <c r="B150" s="94"/>
      <c r="C150" s="94"/>
      <c r="D150" s="94"/>
      <c r="E150" s="94"/>
      <c r="F150" s="94"/>
      <c r="G150" s="94"/>
      <c r="H150" s="94"/>
      <c r="I150" s="94"/>
      <c r="J150" s="94"/>
      <c r="K150" s="125" t="s">
        <v>131</v>
      </c>
      <c r="L150" s="94"/>
      <c r="M150" s="94"/>
      <c r="N150" s="94"/>
      <c r="T150" s="49"/>
      <c r="U150" s="49"/>
      <c r="V150" s="49"/>
      <c r="W150" s="49"/>
      <c r="X150" s="49"/>
      <c r="Y150" s="49"/>
      <c r="Z150" s="49"/>
      <c r="AA150" s="49"/>
      <c r="AB150" s="49"/>
    </row>
    <row r="151" spans="1:28">
      <c r="A151" s="94"/>
      <c r="B151" s="94"/>
      <c r="C151" s="94"/>
      <c r="D151" s="94"/>
      <c r="E151" s="94"/>
      <c r="F151" s="94"/>
      <c r="G151" s="94"/>
      <c r="H151" s="94"/>
      <c r="I151" s="94"/>
      <c r="J151" s="94"/>
      <c r="K151" s="94"/>
      <c r="L151" s="94"/>
      <c r="M151" s="94"/>
      <c r="N151" s="94"/>
    </row>
    <row r="152" spans="1:28">
      <c r="A152" s="124" t="s">
        <v>130</v>
      </c>
      <c r="B152" s="94"/>
      <c r="C152" s="94"/>
      <c r="D152" s="94"/>
      <c r="E152" s="94"/>
      <c r="F152" s="94"/>
      <c r="G152" s="94"/>
      <c r="H152" s="94"/>
      <c r="I152" s="94"/>
      <c r="J152" s="94"/>
      <c r="K152" s="94"/>
      <c r="L152" s="94"/>
      <c r="M152" s="94"/>
      <c r="N152" s="94"/>
    </row>
    <row r="153" spans="1:28">
      <c r="A153" s="124"/>
      <c r="B153" s="94"/>
      <c r="C153" s="94"/>
      <c r="D153" s="94"/>
      <c r="E153" s="94"/>
      <c r="F153" s="94"/>
      <c r="G153" s="94"/>
      <c r="H153" s="94"/>
      <c r="I153" s="94"/>
      <c r="J153" s="94"/>
      <c r="K153" s="94"/>
      <c r="L153" s="94"/>
      <c r="M153" s="94"/>
      <c r="N153" s="94"/>
    </row>
    <row r="154" spans="1:28" ht="15.6">
      <c r="A154" s="123" t="s">
        <v>129</v>
      </c>
      <c r="B154" s="94"/>
      <c r="C154" s="94"/>
      <c r="D154" s="94"/>
      <c r="E154" s="94"/>
      <c r="F154" s="94"/>
      <c r="G154" s="94"/>
      <c r="H154" s="94"/>
      <c r="I154" s="94"/>
      <c r="J154" s="94"/>
      <c r="K154" s="94"/>
      <c r="L154" s="94"/>
      <c r="M154" s="94"/>
      <c r="N154" s="94"/>
    </row>
    <row r="155" spans="1:28">
      <c r="A155" s="9"/>
      <c r="B155" s="94"/>
      <c r="C155" s="94"/>
      <c r="D155" s="94"/>
      <c r="E155" s="94"/>
      <c r="F155" s="94"/>
      <c r="G155" s="94"/>
      <c r="H155" s="94"/>
      <c r="I155" s="94"/>
      <c r="J155" s="94"/>
      <c r="K155" s="94"/>
      <c r="L155" s="94"/>
      <c r="M155" s="94"/>
      <c r="N155" s="94"/>
    </row>
    <row r="156" spans="1:28" ht="16.2" thickBot="1">
      <c r="A156" s="113" t="s">
        <v>128</v>
      </c>
      <c r="B156" s="94"/>
      <c r="C156" s="94"/>
      <c r="D156" s="94"/>
      <c r="E156" s="94"/>
      <c r="F156" s="94"/>
      <c r="G156" s="94"/>
      <c r="H156" s="94"/>
      <c r="I156" s="94"/>
      <c r="J156" s="94"/>
      <c r="K156" s="94"/>
      <c r="L156" s="94"/>
      <c r="M156" s="94"/>
      <c r="N156" s="94"/>
    </row>
    <row r="157" spans="1:28" ht="14.4" thickBot="1">
      <c r="A157" s="94"/>
      <c r="B157" s="94"/>
      <c r="C157" s="94"/>
      <c r="D157" s="94"/>
      <c r="E157" s="94"/>
      <c r="F157" s="94"/>
      <c r="G157" s="105" t="s">
        <v>121</v>
      </c>
      <c r="H157" s="94"/>
      <c r="I157" s="94"/>
      <c r="J157" s="112" t="s">
        <v>120</v>
      </c>
      <c r="K157" s="91"/>
      <c r="L157" s="111"/>
      <c r="M157" s="94"/>
      <c r="N157" s="94"/>
    </row>
    <row r="158" spans="1:28">
      <c r="A158" s="105"/>
      <c r="B158" s="105"/>
      <c r="C158" s="105" t="s">
        <v>117</v>
      </c>
      <c r="D158" s="105" t="s">
        <v>119</v>
      </c>
      <c r="E158" s="105" t="s">
        <v>118</v>
      </c>
      <c r="F158" s="105" t="s">
        <v>117</v>
      </c>
      <c r="G158" s="105" t="s">
        <v>116</v>
      </c>
      <c r="H158" s="105" t="s">
        <v>115</v>
      </c>
      <c r="I158" s="105"/>
      <c r="J158" s="105" t="s">
        <v>110</v>
      </c>
      <c r="K158" s="105" t="s">
        <v>114</v>
      </c>
      <c r="L158" s="94"/>
      <c r="M158" s="94"/>
      <c r="N158" s="94"/>
    </row>
    <row r="159" spans="1:28">
      <c r="A159" s="110" t="s">
        <v>113</v>
      </c>
      <c r="B159" s="110" t="s">
        <v>112</v>
      </c>
      <c r="C159" s="110" t="s">
        <v>111</v>
      </c>
      <c r="D159" s="110" t="s">
        <v>111</v>
      </c>
      <c r="E159" s="110" t="s">
        <v>111</v>
      </c>
      <c r="F159" s="110" t="s">
        <v>110</v>
      </c>
      <c r="G159" s="110" t="s">
        <v>110</v>
      </c>
      <c r="H159" s="110" t="s">
        <v>110</v>
      </c>
      <c r="I159" s="110" t="s">
        <v>110</v>
      </c>
      <c r="J159" s="110" t="s">
        <v>109</v>
      </c>
      <c r="K159" s="110" t="s">
        <v>108</v>
      </c>
      <c r="L159" s="110" t="s">
        <v>1</v>
      </c>
      <c r="M159" s="94"/>
      <c r="N159" s="94"/>
    </row>
    <row r="160" spans="1:28">
      <c r="A160" s="105" t="s">
        <v>107</v>
      </c>
      <c r="B160" s="105" t="s">
        <v>106</v>
      </c>
      <c r="C160" s="105"/>
      <c r="D160" s="105"/>
      <c r="E160" s="105"/>
      <c r="F160" s="105" t="s">
        <v>105</v>
      </c>
      <c r="G160" s="105" t="s">
        <v>105</v>
      </c>
      <c r="H160" s="105" t="s">
        <v>105</v>
      </c>
      <c r="I160" s="105" t="s">
        <v>105</v>
      </c>
      <c r="J160" s="105" t="s">
        <v>104</v>
      </c>
      <c r="K160" s="105" t="s">
        <v>104</v>
      </c>
      <c r="L160" s="105" t="s">
        <v>104</v>
      </c>
      <c r="M160" s="94"/>
      <c r="N160" s="94"/>
    </row>
    <row r="161" spans="1:15">
      <c r="A161" s="94"/>
      <c r="B161" s="94"/>
      <c r="C161" s="94"/>
      <c r="D161" s="94"/>
      <c r="E161" s="94"/>
      <c r="F161" s="94"/>
      <c r="G161" s="94"/>
      <c r="H161" s="94"/>
      <c r="I161" s="94"/>
      <c r="J161" s="94"/>
      <c r="K161" s="94"/>
      <c r="L161" s="94"/>
      <c r="M161" s="94"/>
      <c r="N161" s="94"/>
    </row>
    <row r="162" spans="1:15">
      <c r="A162" s="94">
        <f>B56</f>
        <v>50</v>
      </c>
      <c r="B162" s="94">
        <f>C56</f>
        <v>50</v>
      </c>
      <c r="C162" s="94">
        <v>1</v>
      </c>
      <c r="D162" s="94">
        <f>'SNB-Average'!I56</f>
        <v>2</v>
      </c>
      <c r="E162" s="109">
        <f>'SNB-Average'!J56</f>
        <v>0</v>
      </c>
      <c r="F162" s="108" t="e">
        <f t="shared" ref="F162:F179" si="2">(C162*$D$141)+(D162*$D$142)</f>
        <v>#REF!</v>
      </c>
      <c r="G162" s="108" t="e">
        <f t="shared" ref="G162:G179" si="3">$D$143*A162*1000</f>
        <v>#REF!</v>
      </c>
      <c r="H162" s="108" t="e">
        <f t="shared" ref="H162:H179" si="4">E162*$D$140</f>
        <v>#REF!</v>
      </c>
      <c r="I162" s="107" t="e">
        <f t="shared" ref="I162:I179" si="5">F162+G162+H162</f>
        <v>#REF!</v>
      </c>
      <c r="J162" s="106" t="e">
        <f t="shared" ref="J162:J179" si="6">I162/A162/365/1000</f>
        <v>#REF!</v>
      </c>
      <c r="K162" s="106" t="e">
        <f t="shared" ref="K162:K179" si="7">$D$44</f>
        <v>#REF!</v>
      </c>
      <c r="L162" s="106" t="e">
        <f t="shared" ref="L162:L179" si="8">K162+J162</f>
        <v>#REF!</v>
      </c>
      <c r="M162" s="94"/>
      <c r="N162" s="94"/>
    </row>
    <row r="163" spans="1:15">
      <c r="A163" s="94">
        <f>A162</f>
        <v>50</v>
      </c>
      <c r="B163" s="94">
        <f t="shared" ref="B163:B179" si="9">C57</f>
        <v>100</v>
      </c>
      <c r="C163" s="94">
        <v>1</v>
      </c>
      <c r="D163" s="94">
        <f>'SNB-Average'!I57</f>
        <v>7</v>
      </c>
      <c r="E163" s="109">
        <f>'SNB-Average'!J57</f>
        <v>0.76800000000000002</v>
      </c>
      <c r="F163" s="108" t="e">
        <f t="shared" si="2"/>
        <v>#REF!</v>
      </c>
      <c r="G163" s="108" t="e">
        <f t="shared" si="3"/>
        <v>#REF!</v>
      </c>
      <c r="H163" s="108" t="e">
        <f t="shared" si="4"/>
        <v>#REF!</v>
      </c>
      <c r="I163" s="107" t="e">
        <f t="shared" si="5"/>
        <v>#REF!</v>
      </c>
      <c r="J163" s="106" t="e">
        <f t="shared" si="6"/>
        <v>#REF!</v>
      </c>
      <c r="K163" s="106" t="e">
        <f t="shared" si="7"/>
        <v>#REF!</v>
      </c>
      <c r="L163" s="106" t="e">
        <f t="shared" si="8"/>
        <v>#REF!</v>
      </c>
      <c r="M163" s="94"/>
      <c r="N163" s="122"/>
      <c r="O163" s="121"/>
    </row>
    <row r="164" spans="1:15">
      <c r="A164" s="94">
        <f>A163</f>
        <v>50</v>
      </c>
      <c r="B164" s="94">
        <f t="shared" si="9"/>
        <v>150</v>
      </c>
      <c r="C164" s="94">
        <v>1</v>
      </c>
      <c r="D164" s="94">
        <f>'SNB-Average'!I58</f>
        <v>7</v>
      </c>
      <c r="E164" s="109">
        <f>'SNB-Average'!J58</f>
        <v>2.4320000000000004</v>
      </c>
      <c r="F164" s="108" t="e">
        <f t="shared" si="2"/>
        <v>#REF!</v>
      </c>
      <c r="G164" s="108" t="e">
        <f t="shared" si="3"/>
        <v>#REF!</v>
      </c>
      <c r="H164" s="108" t="e">
        <f t="shared" si="4"/>
        <v>#REF!</v>
      </c>
      <c r="I164" s="107" t="e">
        <f t="shared" si="5"/>
        <v>#REF!</v>
      </c>
      <c r="J164" s="106" t="e">
        <f t="shared" si="6"/>
        <v>#REF!</v>
      </c>
      <c r="K164" s="106" t="e">
        <f t="shared" si="7"/>
        <v>#REF!</v>
      </c>
      <c r="L164" s="106" t="e">
        <f t="shared" si="8"/>
        <v>#REF!</v>
      </c>
      <c r="M164" s="94"/>
      <c r="N164" s="122"/>
      <c r="O164" s="121"/>
    </row>
    <row r="165" spans="1:15">
      <c r="A165" s="94">
        <f>A164</f>
        <v>50</v>
      </c>
      <c r="B165" s="94">
        <f t="shared" si="9"/>
        <v>200</v>
      </c>
      <c r="C165" s="94">
        <v>1</v>
      </c>
      <c r="D165" s="94">
        <f>'SNB-Average'!I59</f>
        <v>7</v>
      </c>
      <c r="E165" s="109">
        <f>'SNB-Average'!J59</f>
        <v>4.4799999999999995</v>
      </c>
      <c r="F165" s="108" t="e">
        <f t="shared" si="2"/>
        <v>#REF!</v>
      </c>
      <c r="G165" s="108" t="e">
        <f t="shared" si="3"/>
        <v>#REF!</v>
      </c>
      <c r="H165" s="108" t="e">
        <f t="shared" si="4"/>
        <v>#REF!</v>
      </c>
      <c r="I165" s="107" t="e">
        <f t="shared" si="5"/>
        <v>#REF!</v>
      </c>
      <c r="J165" s="106" t="e">
        <f t="shared" si="6"/>
        <v>#REF!</v>
      </c>
      <c r="K165" s="106" t="e">
        <f t="shared" si="7"/>
        <v>#REF!</v>
      </c>
      <c r="L165" s="106" t="e">
        <f t="shared" si="8"/>
        <v>#REF!</v>
      </c>
      <c r="M165" s="94"/>
      <c r="N165" s="122"/>
      <c r="O165" s="121"/>
    </row>
    <row r="166" spans="1:15">
      <c r="A166" s="94">
        <f>A165</f>
        <v>50</v>
      </c>
      <c r="B166" s="94">
        <f t="shared" si="9"/>
        <v>250</v>
      </c>
      <c r="C166" s="94">
        <v>1</v>
      </c>
      <c r="D166" s="94">
        <f>'SNB-Average'!I60</f>
        <v>7</v>
      </c>
      <c r="E166" s="109">
        <f>'SNB-Average'!J60</f>
        <v>7.8079999999999998</v>
      </c>
      <c r="F166" s="108" t="e">
        <f t="shared" si="2"/>
        <v>#REF!</v>
      </c>
      <c r="G166" s="108" t="e">
        <f t="shared" si="3"/>
        <v>#REF!</v>
      </c>
      <c r="H166" s="108" t="e">
        <f t="shared" si="4"/>
        <v>#REF!</v>
      </c>
      <c r="I166" s="107" t="e">
        <f t="shared" si="5"/>
        <v>#REF!</v>
      </c>
      <c r="J166" s="106" t="e">
        <f t="shared" si="6"/>
        <v>#REF!</v>
      </c>
      <c r="K166" s="106" t="e">
        <f t="shared" si="7"/>
        <v>#REF!</v>
      </c>
      <c r="L166" s="106" t="e">
        <f t="shared" si="8"/>
        <v>#REF!</v>
      </c>
      <c r="M166" s="94"/>
      <c r="N166" s="122"/>
      <c r="O166" s="121"/>
    </row>
    <row r="167" spans="1:15">
      <c r="A167" s="94">
        <f>A166</f>
        <v>50</v>
      </c>
      <c r="B167" s="94">
        <f t="shared" si="9"/>
        <v>300</v>
      </c>
      <c r="C167" s="94">
        <v>1</v>
      </c>
      <c r="D167" s="94">
        <f>'SNB-Average'!I61</f>
        <v>7</v>
      </c>
      <c r="E167" s="109">
        <f>'SNB-Average'!J61</f>
        <v>12.938000000000001</v>
      </c>
      <c r="F167" s="108" t="e">
        <f t="shared" si="2"/>
        <v>#REF!</v>
      </c>
      <c r="G167" s="108" t="e">
        <f t="shared" si="3"/>
        <v>#REF!</v>
      </c>
      <c r="H167" s="108" t="e">
        <f t="shared" si="4"/>
        <v>#REF!</v>
      </c>
      <c r="I167" s="107" t="e">
        <f t="shared" si="5"/>
        <v>#REF!</v>
      </c>
      <c r="J167" s="106" t="e">
        <f t="shared" si="6"/>
        <v>#REF!</v>
      </c>
      <c r="K167" s="106" t="e">
        <f t="shared" si="7"/>
        <v>#REF!</v>
      </c>
      <c r="L167" s="106" t="e">
        <f t="shared" si="8"/>
        <v>#REF!</v>
      </c>
      <c r="M167" s="94"/>
      <c r="N167" s="122"/>
      <c r="O167" s="121"/>
    </row>
    <row r="168" spans="1:15">
      <c r="A168" s="94">
        <f>B62</f>
        <v>100</v>
      </c>
      <c r="B168" s="94">
        <f t="shared" si="9"/>
        <v>100</v>
      </c>
      <c r="C168" s="94">
        <v>1</v>
      </c>
      <c r="D168" s="94">
        <f>'SNB-Average'!I62</f>
        <v>7</v>
      </c>
      <c r="E168" s="109">
        <f>'SNB-Average'!J62</f>
        <v>0.76800000000000002</v>
      </c>
      <c r="F168" s="108" t="e">
        <f t="shared" si="2"/>
        <v>#REF!</v>
      </c>
      <c r="G168" s="108" t="e">
        <f t="shared" si="3"/>
        <v>#REF!</v>
      </c>
      <c r="H168" s="108" t="e">
        <f t="shared" si="4"/>
        <v>#REF!</v>
      </c>
      <c r="I168" s="107" t="e">
        <f t="shared" si="5"/>
        <v>#REF!</v>
      </c>
      <c r="J168" s="106" t="e">
        <f t="shared" si="6"/>
        <v>#REF!</v>
      </c>
      <c r="K168" s="106" t="e">
        <f t="shared" si="7"/>
        <v>#REF!</v>
      </c>
      <c r="L168" s="106" t="e">
        <f t="shared" si="8"/>
        <v>#REF!</v>
      </c>
      <c r="M168" s="94"/>
      <c r="N168" s="122"/>
      <c r="O168" s="121"/>
    </row>
    <row r="169" spans="1:15">
      <c r="A169" s="94">
        <f>A168</f>
        <v>100</v>
      </c>
      <c r="B169" s="94">
        <f t="shared" si="9"/>
        <v>150</v>
      </c>
      <c r="C169" s="94">
        <v>1</v>
      </c>
      <c r="D169" s="94">
        <f>'SNB-Average'!I63</f>
        <v>7</v>
      </c>
      <c r="E169" s="109">
        <f>'SNB-Average'!J63</f>
        <v>2.5600000000000005</v>
      </c>
      <c r="F169" s="108" t="e">
        <f t="shared" si="2"/>
        <v>#REF!</v>
      </c>
      <c r="G169" s="108" t="e">
        <f t="shared" si="3"/>
        <v>#REF!</v>
      </c>
      <c r="H169" s="108" t="e">
        <f t="shared" si="4"/>
        <v>#REF!</v>
      </c>
      <c r="I169" s="107" t="e">
        <f t="shared" si="5"/>
        <v>#REF!</v>
      </c>
      <c r="J169" s="106" t="e">
        <f t="shared" si="6"/>
        <v>#REF!</v>
      </c>
      <c r="K169" s="106" t="e">
        <f t="shared" si="7"/>
        <v>#REF!</v>
      </c>
      <c r="L169" s="106" t="e">
        <f t="shared" si="8"/>
        <v>#REF!</v>
      </c>
      <c r="M169" s="94"/>
      <c r="N169" s="122"/>
      <c r="O169" s="121"/>
    </row>
    <row r="170" spans="1:15">
      <c r="A170" s="94">
        <f>A169</f>
        <v>100</v>
      </c>
      <c r="B170" s="94">
        <f t="shared" si="9"/>
        <v>200</v>
      </c>
      <c r="C170" s="94">
        <v>1</v>
      </c>
      <c r="D170" s="94">
        <f>'SNB-Average'!I64</f>
        <v>7</v>
      </c>
      <c r="E170" s="109">
        <f>'SNB-Average'!J64</f>
        <v>5.120000000000001</v>
      </c>
      <c r="F170" s="108" t="e">
        <f t="shared" si="2"/>
        <v>#REF!</v>
      </c>
      <c r="G170" s="108" t="e">
        <f t="shared" si="3"/>
        <v>#REF!</v>
      </c>
      <c r="H170" s="108" t="e">
        <f t="shared" si="4"/>
        <v>#REF!</v>
      </c>
      <c r="I170" s="107" t="e">
        <f t="shared" si="5"/>
        <v>#REF!</v>
      </c>
      <c r="J170" s="106" t="e">
        <f t="shared" si="6"/>
        <v>#REF!</v>
      </c>
      <c r="K170" s="106" t="e">
        <f t="shared" si="7"/>
        <v>#REF!</v>
      </c>
      <c r="L170" s="106" t="e">
        <f t="shared" si="8"/>
        <v>#REF!</v>
      </c>
      <c r="M170" s="94"/>
      <c r="N170" s="122"/>
      <c r="O170" s="121"/>
    </row>
    <row r="171" spans="1:15">
      <c r="A171" s="94">
        <f>A170</f>
        <v>100</v>
      </c>
      <c r="B171" s="94">
        <f t="shared" si="9"/>
        <v>250</v>
      </c>
      <c r="C171" s="94">
        <v>1</v>
      </c>
      <c r="D171" s="94">
        <f>'SNB-Average'!I65</f>
        <v>7</v>
      </c>
      <c r="E171" s="109">
        <f>'SNB-Average'!J65</f>
        <v>9.9840000000000018</v>
      </c>
      <c r="F171" s="108" t="e">
        <f t="shared" si="2"/>
        <v>#REF!</v>
      </c>
      <c r="G171" s="108" t="e">
        <f t="shared" si="3"/>
        <v>#REF!</v>
      </c>
      <c r="H171" s="108" t="e">
        <f t="shared" si="4"/>
        <v>#REF!</v>
      </c>
      <c r="I171" s="107" t="e">
        <f t="shared" si="5"/>
        <v>#REF!</v>
      </c>
      <c r="J171" s="106" t="e">
        <f t="shared" si="6"/>
        <v>#REF!</v>
      </c>
      <c r="K171" s="106" t="e">
        <f t="shared" si="7"/>
        <v>#REF!</v>
      </c>
      <c r="L171" s="106" t="e">
        <f t="shared" si="8"/>
        <v>#REF!</v>
      </c>
      <c r="M171" s="94"/>
      <c r="N171" s="122"/>
      <c r="O171" s="121"/>
    </row>
    <row r="172" spans="1:15">
      <c r="A172" s="94">
        <f>A171</f>
        <v>100</v>
      </c>
      <c r="B172" s="94">
        <f t="shared" si="9"/>
        <v>300</v>
      </c>
      <c r="C172" s="94">
        <v>1</v>
      </c>
      <c r="D172" s="94">
        <f>'SNB-Average'!I66</f>
        <v>7</v>
      </c>
      <c r="E172" s="109">
        <f>'SNB-Average'!J66</f>
        <v>13.49</v>
      </c>
      <c r="F172" s="108" t="e">
        <f t="shared" si="2"/>
        <v>#REF!</v>
      </c>
      <c r="G172" s="108" t="e">
        <f t="shared" si="3"/>
        <v>#REF!</v>
      </c>
      <c r="H172" s="108" t="e">
        <f t="shared" si="4"/>
        <v>#REF!</v>
      </c>
      <c r="I172" s="107" t="e">
        <f t="shared" si="5"/>
        <v>#REF!</v>
      </c>
      <c r="J172" s="106" t="e">
        <f t="shared" si="6"/>
        <v>#REF!</v>
      </c>
      <c r="K172" s="106" t="e">
        <f t="shared" si="7"/>
        <v>#REF!</v>
      </c>
      <c r="L172" s="106" t="e">
        <f t="shared" si="8"/>
        <v>#REF!</v>
      </c>
      <c r="M172" s="94"/>
      <c r="N172" s="122"/>
      <c r="O172" s="121"/>
    </row>
    <row r="173" spans="1:15">
      <c r="A173" s="94">
        <f>B67</f>
        <v>150</v>
      </c>
      <c r="B173" s="94">
        <f t="shared" si="9"/>
        <v>150</v>
      </c>
      <c r="C173" s="94">
        <v>1</v>
      </c>
      <c r="D173" s="94">
        <f>'SNB-Average'!I67</f>
        <v>7</v>
      </c>
      <c r="E173" s="109">
        <f>'SNB-Average'!J67</f>
        <v>2.5600000000000005</v>
      </c>
      <c r="F173" s="108" t="e">
        <f t="shared" si="2"/>
        <v>#REF!</v>
      </c>
      <c r="G173" s="108" t="e">
        <f t="shared" si="3"/>
        <v>#REF!</v>
      </c>
      <c r="H173" s="108" t="e">
        <f t="shared" si="4"/>
        <v>#REF!</v>
      </c>
      <c r="I173" s="107" t="e">
        <f t="shared" si="5"/>
        <v>#REF!</v>
      </c>
      <c r="J173" s="106" t="e">
        <f t="shared" si="6"/>
        <v>#REF!</v>
      </c>
      <c r="K173" s="106" t="e">
        <f t="shared" si="7"/>
        <v>#REF!</v>
      </c>
      <c r="L173" s="106" t="e">
        <f t="shared" si="8"/>
        <v>#REF!</v>
      </c>
      <c r="M173" s="94"/>
      <c r="N173" s="122"/>
      <c r="O173" s="121"/>
    </row>
    <row r="174" spans="1:15">
      <c r="A174" s="94">
        <f>A173</f>
        <v>150</v>
      </c>
      <c r="B174" s="94">
        <f t="shared" si="9"/>
        <v>200</v>
      </c>
      <c r="C174" s="94">
        <v>1</v>
      </c>
      <c r="D174" s="94">
        <f>'SNB-Average'!I68</f>
        <v>7</v>
      </c>
      <c r="E174" s="109">
        <f>'SNB-Average'!J68</f>
        <v>5.120000000000001</v>
      </c>
      <c r="F174" s="108" t="e">
        <f t="shared" si="2"/>
        <v>#REF!</v>
      </c>
      <c r="G174" s="108" t="e">
        <f t="shared" si="3"/>
        <v>#REF!</v>
      </c>
      <c r="H174" s="108" t="e">
        <f t="shared" si="4"/>
        <v>#REF!</v>
      </c>
      <c r="I174" s="107" t="e">
        <f t="shared" si="5"/>
        <v>#REF!</v>
      </c>
      <c r="J174" s="106" t="e">
        <f t="shared" si="6"/>
        <v>#REF!</v>
      </c>
      <c r="K174" s="106" t="e">
        <f t="shared" si="7"/>
        <v>#REF!</v>
      </c>
      <c r="L174" s="106" t="e">
        <f t="shared" si="8"/>
        <v>#REF!</v>
      </c>
      <c r="M174" s="94"/>
      <c r="N174" s="122"/>
      <c r="O174" s="121"/>
    </row>
    <row r="175" spans="1:15">
      <c r="A175" s="94">
        <f>A174</f>
        <v>150</v>
      </c>
      <c r="B175" s="94">
        <f t="shared" si="9"/>
        <v>250</v>
      </c>
      <c r="C175" s="94">
        <v>1</v>
      </c>
      <c r="D175" s="94">
        <f>'SNB-Average'!I69</f>
        <v>7</v>
      </c>
      <c r="E175" s="109">
        <f>'SNB-Average'!J69</f>
        <v>10.496</v>
      </c>
      <c r="F175" s="108" t="e">
        <f t="shared" si="2"/>
        <v>#REF!</v>
      </c>
      <c r="G175" s="108" t="e">
        <f t="shared" si="3"/>
        <v>#REF!</v>
      </c>
      <c r="H175" s="108" t="e">
        <f t="shared" si="4"/>
        <v>#REF!</v>
      </c>
      <c r="I175" s="107" t="e">
        <f t="shared" si="5"/>
        <v>#REF!</v>
      </c>
      <c r="J175" s="106" t="e">
        <f t="shared" si="6"/>
        <v>#REF!</v>
      </c>
      <c r="K175" s="106" t="e">
        <f t="shared" si="7"/>
        <v>#REF!</v>
      </c>
      <c r="L175" s="106" t="e">
        <f t="shared" si="8"/>
        <v>#REF!</v>
      </c>
      <c r="M175" s="94"/>
      <c r="N175" s="122"/>
      <c r="O175" s="121"/>
    </row>
    <row r="176" spans="1:15">
      <c r="A176" s="94">
        <f>A175</f>
        <v>150</v>
      </c>
      <c r="B176" s="94">
        <f t="shared" si="9"/>
        <v>300</v>
      </c>
      <c r="C176" s="94">
        <v>1</v>
      </c>
      <c r="D176" s="94">
        <f>'SNB-Average'!I70</f>
        <v>7</v>
      </c>
      <c r="E176" s="109">
        <f>'SNB-Average'!J70</f>
        <v>13.628</v>
      </c>
      <c r="F176" s="108" t="e">
        <f t="shared" si="2"/>
        <v>#REF!</v>
      </c>
      <c r="G176" s="108" t="e">
        <f t="shared" si="3"/>
        <v>#REF!</v>
      </c>
      <c r="H176" s="108" t="e">
        <f t="shared" si="4"/>
        <v>#REF!</v>
      </c>
      <c r="I176" s="107" t="e">
        <f t="shared" si="5"/>
        <v>#REF!</v>
      </c>
      <c r="J176" s="106" t="e">
        <f t="shared" si="6"/>
        <v>#REF!</v>
      </c>
      <c r="K176" s="106" t="e">
        <f t="shared" si="7"/>
        <v>#REF!</v>
      </c>
      <c r="L176" s="106" t="e">
        <f t="shared" si="8"/>
        <v>#REF!</v>
      </c>
      <c r="M176" s="94"/>
      <c r="N176" s="122"/>
      <c r="O176" s="121"/>
    </row>
    <row r="177" spans="1:15">
      <c r="A177" s="94">
        <f>B71</f>
        <v>200</v>
      </c>
      <c r="B177" s="94">
        <f t="shared" si="9"/>
        <v>200</v>
      </c>
      <c r="C177" s="94">
        <v>1</v>
      </c>
      <c r="D177" s="94">
        <f>'SNB-Average'!I71</f>
        <v>7</v>
      </c>
      <c r="E177" s="109">
        <f>'SNB-Average'!J71</f>
        <v>5.120000000000001</v>
      </c>
      <c r="F177" s="108" t="e">
        <f t="shared" si="2"/>
        <v>#REF!</v>
      </c>
      <c r="G177" s="108" t="e">
        <f t="shared" si="3"/>
        <v>#REF!</v>
      </c>
      <c r="H177" s="108" t="e">
        <f t="shared" si="4"/>
        <v>#REF!</v>
      </c>
      <c r="I177" s="107" t="e">
        <f t="shared" si="5"/>
        <v>#REF!</v>
      </c>
      <c r="J177" s="106" t="e">
        <f t="shared" si="6"/>
        <v>#REF!</v>
      </c>
      <c r="K177" s="106" t="e">
        <f t="shared" si="7"/>
        <v>#REF!</v>
      </c>
      <c r="L177" s="106" t="e">
        <f t="shared" si="8"/>
        <v>#REF!</v>
      </c>
      <c r="M177" s="94"/>
      <c r="N177" s="122"/>
      <c r="O177" s="121"/>
    </row>
    <row r="178" spans="1:15">
      <c r="A178" s="94">
        <f>A177</f>
        <v>200</v>
      </c>
      <c r="B178" s="94">
        <f t="shared" si="9"/>
        <v>250</v>
      </c>
      <c r="C178" s="94">
        <v>1</v>
      </c>
      <c r="D178" s="94">
        <f>'SNB-Average'!I72</f>
        <v>7</v>
      </c>
      <c r="E178" s="109">
        <f>'SNB-Average'!J72</f>
        <v>10.496</v>
      </c>
      <c r="F178" s="108" t="e">
        <f t="shared" si="2"/>
        <v>#REF!</v>
      </c>
      <c r="G178" s="108" t="e">
        <f t="shared" si="3"/>
        <v>#REF!</v>
      </c>
      <c r="H178" s="108" t="e">
        <f t="shared" si="4"/>
        <v>#REF!</v>
      </c>
      <c r="I178" s="107" t="e">
        <f t="shared" si="5"/>
        <v>#REF!</v>
      </c>
      <c r="J178" s="106" t="e">
        <f t="shared" si="6"/>
        <v>#REF!</v>
      </c>
      <c r="K178" s="106" t="e">
        <f t="shared" si="7"/>
        <v>#REF!</v>
      </c>
      <c r="L178" s="106" t="e">
        <f t="shared" si="8"/>
        <v>#REF!</v>
      </c>
      <c r="M178" s="94"/>
      <c r="N178" s="122"/>
      <c r="O178" s="121"/>
    </row>
    <row r="179" spans="1:15">
      <c r="A179" s="94">
        <f>A178</f>
        <v>200</v>
      </c>
      <c r="B179" s="94">
        <f t="shared" si="9"/>
        <v>300</v>
      </c>
      <c r="C179" s="94">
        <v>1</v>
      </c>
      <c r="D179" s="94">
        <f>'SNB-Average'!I73</f>
        <v>7</v>
      </c>
      <c r="E179" s="109">
        <f>'SNB-Average'!J73</f>
        <v>13.766000000000002</v>
      </c>
      <c r="F179" s="108" t="e">
        <f t="shared" si="2"/>
        <v>#REF!</v>
      </c>
      <c r="G179" s="108" t="e">
        <f t="shared" si="3"/>
        <v>#REF!</v>
      </c>
      <c r="H179" s="108" t="e">
        <f t="shared" si="4"/>
        <v>#REF!</v>
      </c>
      <c r="I179" s="107" t="e">
        <f t="shared" si="5"/>
        <v>#REF!</v>
      </c>
      <c r="J179" s="106" t="e">
        <f t="shared" si="6"/>
        <v>#REF!</v>
      </c>
      <c r="K179" s="106" t="e">
        <f t="shared" si="7"/>
        <v>#REF!</v>
      </c>
      <c r="L179" s="106" t="e">
        <f t="shared" si="8"/>
        <v>#REF!</v>
      </c>
      <c r="M179" s="94"/>
      <c r="N179" s="122"/>
      <c r="O179" s="121"/>
    </row>
    <row r="180" spans="1:15">
      <c r="A180" s="120"/>
      <c r="B180" s="120"/>
      <c r="C180" s="120"/>
      <c r="D180" s="120"/>
      <c r="E180" s="119"/>
      <c r="F180" s="118"/>
      <c r="G180" s="117"/>
      <c r="H180" s="117"/>
      <c r="I180" s="116"/>
      <c r="J180" s="115"/>
      <c r="K180" s="115"/>
      <c r="L180" s="115"/>
      <c r="M180" s="94"/>
      <c r="N180" s="94"/>
    </row>
    <row r="181" spans="1:15">
      <c r="A181" s="120"/>
      <c r="B181" s="120"/>
      <c r="C181" s="120"/>
      <c r="D181" s="120"/>
      <c r="E181" s="119"/>
      <c r="F181" s="118"/>
      <c r="G181" s="117"/>
      <c r="H181" s="117"/>
      <c r="I181" s="116"/>
      <c r="J181" s="115"/>
      <c r="K181" s="115"/>
      <c r="L181" s="115"/>
      <c r="M181" s="94"/>
      <c r="N181" s="94"/>
    </row>
    <row r="182" spans="1:15">
      <c r="A182" s="120"/>
      <c r="B182" s="120"/>
      <c r="C182" s="120"/>
      <c r="D182" s="120"/>
      <c r="E182" s="119"/>
      <c r="F182" s="118"/>
      <c r="G182" s="117"/>
      <c r="H182" s="117"/>
      <c r="I182" s="116"/>
      <c r="J182" s="115"/>
      <c r="K182" s="115"/>
      <c r="L182" s="115"/>
      <c r="M182" s="94"/>
      <c r="N182" s="94"/>
    </row>
    <row r="183" spans="1:15">
      <c r="A183" s="94"/>
      <c r="B183" s="94"/>
      <c r="C183" s="94"/>
      <c r="D183" s="94"/>
      <c r="E183" s="94"/>
      <c r="F183" s="94"/>
      <c r="G183" s="94"/>
      <c r="H183" s="94"/>
      <c r="I183" s="94"/>
      <c r="J183" s="94"/>
      <c r="K183" s="94"/>
      <c r="L183" s="94"/>
      <c r="M183" s="94"/>
      <c r="N183" s="94"/>
    </row>
    <row r="184" spans="1:15">
      <c r="A184" s="94"/>
      <c r="B184" s="94"/>
      <c r="C184" s="94"/>
      <c r="D184" s="94"/>
      <c r="E184" s="94"/>
      <c r="F184" s="94"/>
      <c r="G184" s="94"/>
      <c r="H184" s="94"/>
      <c r="I184" s="94"/>
      <c r="J184" s="104" t="s">
        <v>127</v>
      </c>
      <c r="K184" s="94"/>
      <c r="L184" s="103" t="e">
        <f>AVERAGE(L162:L179)</f>
        <v>#REF!</v>
      </c>
      <c r="M184" s="102" t="s">
        <v>126</v>
      </c>
      <c r="N184" s="114"/>
    </row>
    <row r="185" spans="1:15">
      <c r="A185" s="94"/>
      <c r="B185" s="94"/>
      <c r="C185" s="94"/>
      <c r="D185" s="94"/>
      <c r="E185" s="94"/>
      <c r="F185" s="94"/>
      <c r="G185" s="94"/>
      <c r="H185" s="94"/>
      <c r="I185" s="94"/>
      <c r="J185" s="94"/>
      <c r="K185" s="94"/>
      <c r="L185" s="94"/>
      <c r="M185" s="94"/>
      <c r="N185" s="94"/>
    </row>
    <row r="186" spans="1:15" ht="16.2" thickBot="1">
      <c r="A186" s="113" t="s">
        <v>125</v>
      </c>
      <c r="B186" s="94"/>
      <c r="C186" s="94"/>
      <c r="D186" s="94"/>
      <c r="E186" s="94"/>
      <c r="F186" s="94"/>
      <c r="G186" s="94"/>
      <c r="H186" s="94"/>
      <c r="I186" s="94"/>
      <c r="J186" s="94"/>
      <c r="K186" s="94"/>
      <c r="L186" s="94"/>
      <c r="M186" s="94"/>
      <c r="N186" s="94"/>
    </row>
    <row r="187" spans="1:15" ht="14.4" thickBot="1">
      <c r="A187" s="94"/>
      <c r="B187" s="94"/>
      <c r="C187" s="94"/>
      <c r="D187" s="94"/>
      <c r="E187" s="94"/>
      <c r="F187" s="94"/>
      <c r="G187" s="105" t="s">
        <v>121</v>
      </c>
      <c r="H187" s="94"/>
      <c r="I187" s="94"/>
      <c r="J187" s="112" t="s">
        <v>120</v>
      </c>
      <c r="K187" s="91"/>
      <c r="L187" s="111"/>
      <c r="M187" s="94"/>
      <c r="N187" s="94"/>
    </row>
    <row r="188" spans="1:15">
      <c r="A188" s="105"/>
      <c r="B188" s="105"/>
      <c r="C188" s="105" t="s">
        <v>117</v>
      </c>
      <c r="D188" s="105" t="s">
        <v>119</v>
      </c>
      <c r="E188" s="105" t="s">
        <v>118</v>
      </c>
      <c r="F188" s="105" t="s">
        <v>117</v>
      </c>
      <c r="G188" s="105" t="s">
        <v>116</v>
      </c>
      <c r="H188" s="105" t="s">
        <v>115</v>
      </c>
      <c r="I188" s="105"/>
      <c r="J188" s="105" t="s">
        <v>110</v>
      </c>
      <c r="K188" s="105" t="s">
        <v>114</v>
      </c>
      <c r="L188" s="94"/>
      <c r="M188" s="94"/>
      <c r="N188" s="94"/>
    </row>
    <row r="189" spans="1:15">
      <c r="A189" s="110" t="s">
        <v>113</v>
      </c>
      <c r="B189" s="110" t="s">
        <v>112</v>
      </c>
      <c r="C189" s="110" t="s">
        <v>111</v>
      </c>
      <c r="D189" s="110" t="s">
        <v>111</v>
      </c>
      <c r="E189" s="110" t="s">
        <v>111</v>
      </c>
      <c r="F189" s="110" t="s">
        <v>110</v>
      </c>
      <c r="G189" s="110" t="s">
        <v>110</v>
      </c>
      <c r="H189" s="110" t="s">
        <v>110</v>
      </c>
      <c r="I189" s="110" t="s">
        <v>110</v>
      </c>
      <c r="J189" s="110" t="s">
        <v>109</v>
      </c>
      <c r="K189" s="110" t="s">
        <v>108</v>
      </c>
      <c r="L189" s="110" t="s">
        <v>1</v>
      </c>
      <c r="M189" s="94"/>
      <c r="N189" s="94"/>
    </row>
    <row r="190" spans="1:15">
      <c r="A190" s="105" t="s">
        <v>107</v>
      </c>
      <c r="B190" s="105" t="s">
        <v>106</v>
      </c>
      <c r="C190" s="105"/>
      <c r="D190" s="105"/>
      <c r="E190" s="105"/>
      <c r="F190" s="105" t="s">
        <v>105</v>
      </c>
      <c r="G190" s="105" t="s">
        <v>105</v>
      </c>
      <c r="H190" s="105" t="s">
        <v>105</v>
      </c>
      <c r="I190" s="105" t="s">
        <v>105</v>
      </c>
      <c r="J190" s="105" t="s">
        <v>104</v>
      </c>
      <c r="K190" s="105" t="s">
        <v>104</v>
      </c>
      <c r="L190" s="105" t="s">
        <v>104</v>
      </c>
      <c r="M190" s="94"/>
      <c r="N190" s="94"/>
    </row>
    <row r="191" spans="1:15">
      <c r="A191" s="94"/>
      <c r="B191" s="94"/>
      <c r="C191" s="94"/>
      <c r="D191" s="94"/>
      <c r="E191" s="94"/>
      <c r="F191" s="94"/>
      <c r="G191" s="94"/>
      <c r="H191" s="94"/>
      <c r="I191" s="94"/>
      <c r="J191" s="94"/>
      <c r="K191" s="94"/>
      <c r="L191" s="94"/>
      <c r="M191" s="94"/>
      <c r="N191" s="94"/>
    </row>
    <row r="192" spans="1:15">
      <c r="A192" s="94">
        <v>50</v>
      </c>
      <c r="B192" s="94">
        <v>50</v>
      </c>
      <c r="C192" s="107">
        <f>0</f>
        <v>0</v>
      </c>
      <c r="D192" s="107">
        <f>'SNB-Average'!I86</f>
        <v>0</v>
      </c>
      <c r="E192" s="109">
        <f>'SNB-Average'!F82</f>
        <v>45.400000000000006</v>
      </c>
      <c r="F192" s="108" t="e">
        <f>(C192*$D$141)+(D192*$D$142)</f>
        <v>#REF!</v>
      </c>
      <c r="G192" s="108" t="e">
        <f>$D$143*A192*1000</f>
        <v>#REF!</v>
      </c>
      <c r="H192" s="108" t="e">
        <f>E192*$D$140</f>
        <v>#REF!</v>
      </c>
      <c r="I192" s="107" t="e">
        <f>F192+G192+H192</f>
        <v>#REF!</v>
      </c>
      <c r="J192" s="106" t="e">
        <f>I192/A192/365/1000</f>
        <v>#REF!</v>
      </c>
      <c r="K192" s="106" t="e">
        <f>$D$44</f>
        <v>#REF!</v>
      </c>
      <c r="L192" s="106" t="e">
        <f>K192+J192</f>
        <v>#REF!</v>
      </c>
      <c r="M192" s="94"/>
      <c r="N192" s="94"/>
    </row>
    <row r="193" spans="1:14">
      <c r="A193" s="94">
        <v>100</v>
      </c>
      <c r="B193" s="94">
        <v>100</v>
      </c>
      <c r="C193" s="107">
        <f>0</f>
        <v>0</v>
      </c>
      <c r="D193" s="107">
        <f>'SNB-Average'!I87</f>
        <v>0</v>
      </c>
      <c r="E193" s="109">
        <f>'SNB-Average'!F87</f>
        <v>78.2</v>
      </c>
      <c r="F193" s="108" t="e">
        <f>(C193*$D$141)+(D193*$D$142)</f>
        <v>#REF!</v>
      </c>
      <c r="G193" s="108" t="e">
        <f>$D$143*A193*1000</f>
        <v>#REF!</v>
      </c>
      <c r="H193" s="108" t="e">
        <f>E193*$D$140</f>
        <v>#REF!</v>
      </c>
      <c r="I193" s="107" t="e">
        <f>F193+G193+H193</f>
        <v>#REF!</v>
      </c>
      <c r="J193" s="106" t="e">
        <f>I193/A193/365/1000</f>
        <v>#REF!</v>
      </c>
      <c r="K193" s="106" t="e">
        <f>$D$44</f>
        <v>#REF!</v>
      </c>
      <c r="L193" s="106" t="e">
        <f>K193+J193</f>
        <v>#REF!</v>
      </c>
      <c r="M193" s="94"/>
      <c r="N193" s="94"/>
    </row>
    <row r="194" spans="1:14">
      <c r="A194" s="94">
        <v>150</v>
      </c>
      <c r="B194" s="94">
        <v>150</v>
      </c>
      <c r="C194" s="107">
        <f>0</f>
        <v>0</v>
      </c>
      <c r="D194" s="107">
        <f>'SNB-Average'!I88</f>
        <v>0</v>
      </c>
      <c r="E194" s="109">
        <f>'SNB-Average'!F91</f>
        <v>123.4</v>
      </c>
      <c r="F194" s="108" t="e">
        <f>(C194*$D$141)+(D194*$D$142)</f>
        <v>#REF!</v>
      </c>
      <c r="G194" s="108" t="e">
        <f>$D$143*A194*1000</f>
        <v>#REF!</v>
      </c>
      <c r="H194" s="108" t="e">
        <f>E194*$D$140</f>
        <v>#REF!</v>
      </c>
      <c r="I194" s="107" t="e">
        <f>F194+G194+H194</f>
        <v>#REF!</v>
      </c>
      <c r="J194" s="106" t="e">
        <f>I194/A194/365/1000</f>
        <v>#REF!</v>
      </c>
      <c r="K194" s="106" t="e">
        <f>$D$44</f>
        <v>#REF!</v>
      </c>
      <c r="L194" s="106" t="e">
        <f>K194+J194</f>
        <v>#REF!</v>
      </c>
      <c r="M194" s="94"/>
      <c r="N194" s="94"/>
    </row>
    <row r="195" spans="1:14">
      <c r="A195" s="94">
        <v>200</v>
      </c>
      <c r="B195" s="94">
        <v>200</v>
      </c>
      <c r="C195" s="107">
        <f>0</f>
        <v>0</v>
      </c>
      <c r="D195" s="107">
        <f>'SNB-Average'!I89</f>
        <v>0</v>
      </c>
      <c r="E195" s="109">
        <f>'SNB-Average'!F96</f>
        <v>123.5</v>
      </c>
      <c r="F195" s="108" t="e">
        <f>(C195*$D$141)+(D195*$D$142)</f>
        <v>#REF!</v>
      </c>
      <c r="G195" s="108" t="e">
        <f>$D$143*A195*1000</f>
        <v>#REF!</v>
      </c>
      <c r="H195" s="108" t="e">
        <f>E195*$D$140</f>
        <v>#REF!</v>
      </c>
      <c r="I195" s="107" t="e">
        <f>F195+G195+H195</f>
        <v>#REF!</v>
      </c>
      <c r="J195" s="106" t="e">
        <f>I195/A195/365/1000</f>
        <v>#REF!</v>
      </c>
      <c r="K195" s="106" t="e">
        <f>$D$44</f>
        <v>#REF!</v>
      </c>
      <c r="L195" s="106" t="e">
        <f>K195+J195</f>
        <v>#REF!</v>
      </c>
      <c r="M195" s="94"/>
      <c r="N195" s="94"/>
    </row>
    <row r="196" spans="1:14">
      <c r="A196" s="94"/>
      <c r="B196" s="94"/>
      <c r="C196" s="94"/>
      <c r="D196" s="94"/>
      <c r="E196" s="94"/>
      <c r="F196" s="94"/>
      <c r="G196" s="94"/>
      <c r="H196" s="94"/>
      <c r="I196" s="94"/>
      <c r="J196" s="94"/>
      <c r="K196" s="94"/>
      <c r="L196" s="94"/>
      <c r="M196" s="94"/>
      <c r="N196" s="94"/>
    </row>
    <row r="197" spans="1:14">
      <c r="A197" s="94"/>
      <c r="B197" s="94"/>
      <c r="C197" s="94"/>
      <c r="D197" s="94"/>
      <c r="E197" s="94"/>
      <c r="F197" s="94"/>
      <c r="G197" s="94"/>
      <c r="H197" s="94"/>
      <c r="I197" s="94"/>
      <c r="J197" s="104" t="s">
        <v>124</v>
      </c>
      <c r="K197" s="94"/>
      <c r="L197" s="103" t="e">
        <f>AVERAGE(L192:L195)</f>
        <v>#REF!</v>
      </c>
      <c r="M197" s="94" t="s">
        <v>123</v>
      </c>
      <c r="N197" s="94"/>
    </row>
    <row r="198" spans="1:14">
      <c r="A198" s="94"/>
      <c r="B198" s="94"/>
      <c r="C198" s="94"/>
      <c r="D198" s="94"/>
      <c r="E198" s="94"/>
      <c r="F198" s="94"/>
      <c r="G198" s="94"/>
      <c r="H198" s="94"/>
      <c r="I198" s="94"/>
      <c r="J198" s="104"/>
      <c r="K198" s="94"/>
      <c r="L198" s="103"/>
      <c r="M198" s="94"/>
      <c r="N198" s="94"/>
    </row>
    <row r="199" spans="1:14">
      <c r="M199" s="94"/>
      <c r="N199" s="94"/>
    </row>
    <row r="200" spans="1:14" ht="16.2" thickBot="1">
      <c r="A200" s="113" t="s">
        <v>122</v>
      </c>
      <c r="B200" s="94"/>
      <c r="C200" s="94"/>
      <c r="D200" s="94"/>
      <c r="E200" s="94"/>
      <c r="F200" s="94"/>
      <c r="G200" s="94"/>
      <c r="H200" s="94"/>
      <c r="I200" s="94"/>
      <c r="J200" s="94"/>
      <c r="K200" s="94"/>
      <c r="L200" s="94"/>
      <c r="M200" s="94"/>
      <c r="N200" s="94"/>
    </row>
    <row r="201" spans="1:14" ht="14.4" thickBot="1">
      <c r="A201" s="94"/>
      <c r="B201" s="94"/>
      <c r="C201" s="94"/>
      <c r="D201" s="94"/>
      <c r="E201" s="94"/>
      <c r="F201" s="94"/>
      <c r="G201" s="105" t="s">
        <v>121</v>
      </c>
      <c r="H201" s="94"/>
      <c r="I201" s="94"/>
      <c r="J201" s="112" t="s">
        <v>120</v>
      </c>
      <c r="K201" s="91"/>
      <c r="L201" s="111"/>
      <c r="M201" s="94"/>
      <c r="N201" s="94"/>
    </row>
    <row r="202" spans="1:14">
      <c r="A202" s="105"/>
      <c r="B202" s="105"/>
      <c r="C202" s="105" t="s">
        <v>117</v>
      </c>
      <c r="D202" s="105" t="s">
        <v>119</v>
      </c>
      <c r="E202" s="105" t="s">
        <v>118</v>
      </c>
      <c r="F202" s="105" t="s">
        <v>117</v>
      </c>
      <c r="G202" s="105" t="s">
        <v>116</v>
      </c>
      <c r="H202" s="105" t="s">
        <v>115</v>
      </c>
      <c r="I202" s="105"/>
      <c r="J202" s="105" t="s">
        <v>110</v>
      </c>
      <c r="K202" s="105" t="s">
        <v>114</v>
      </c>
      <c r="L202" s="94"/>
      <c r="M202" s="94"/>
      <c r="N202" s="94"/>
    </row>
    <row r="203" spans="1:14">
      <c r="A203" s="110" t="s">
        <v>113</v>
      </c>
      <c r="B203" s="110" t="s">
        <v>112</v>
      </c>
      <c r="C203" s="110" t="s">
        <v>111</v>
      </c>
      <c r="D203" s="110" t="s">
        <v>111</v>
      </c>
      <c r="E203" s="110" t="s">
        <v>111</v>
      </c>
      <c r="F203" s="110" t="s">
        <v>110</v>
      </c>
      <c r="G203" s="110" t="s">
        <v>110</v>
      </c>
      <c r="H203" s="110" t="s">
        <v>110</v>
      </c>
      <c r="I203" s="110" t="s">
        <v>110</v>
      </c>
      <c r="J203" s="110" t="s">
        <v>109</v>
      </c>
      <c r="K203" s="110" t="s">
        <v>108</v>
      </c>
      <c r="L203" s="110" t="s">
        <v>1</v>
      </c>
      <c r="M203" s="94"/>
      <c r="N203" s="94"/>
    </row>
    <row r="204" spans="1:14">
      <c r="A204" s="105" t="s">
        <v>107</v>
      </c>
      <c r="B204" s="105" t="s">
        <v>106</v>
      </c>
      <c r="C204" s="105"/>
      <c r="D204" s="105"/>
      <c r="E204" s="105"/>
      <c r="F204" s="105" t="s">
        <v>105</v>
      </c>
      <c r="G204" s="105" t="s">
        <v>105</v>
      </c>
      <c r="H204" s="105" t="s">
        <v>105</v>
      </c>
      <c r="I204" s="105" t="s">
        <v>105</v>
      </c>
      <c r="J204" s="105" t="s">
        <v>104</v>
      </c>
      <c r="K204" s="105" t="s">
        <v>104</v>
      </c>
      <c r="L204" s="105" t="s">
        <v>104</v>
      </c>
      <c r="M204" s="94"/>
      <c r="N204" s="94"/>
    </row>
    <row r="205" spans="1:14">
      <c r="A205" s="94"/>
      <c r="B205" s="94"/>
      <c r="C205" s="94"/>
      <c r="D205" s="94"/>
      <c r="E205" s="94"/>
      <c r="F205" s="94"/>
      <c r="G205" s="94"/>
      <c r="H205" s="94"/>
      <c r="I205" s="94"/>
      <c r="J205" s="94"/>
      <c r="K205" s="94"/>
      <c r="L205" s="94"/>
      <c r="M205" s="94"/>
      <c r="N205" s="94"/>
    </row>
    <row r="206" spans="1:14">
      <c r="A206" s="94">
        <v>50</v>
      </c>
      <c r="B206" s="94">
        <v>50</v>
      </c>
      <c r="C206" s="107">
        <v>1</v>
      </c>
      <c r="D206" s="107">
        <f>'SNB-Average'!F106</f>
        <v>1</v>
      </c>
      <c r="E206" s="109">
        <v>0</v>
      </c>
      <c r="F206" s="108" t="e">
        <f>(C206*$D$141)+(D206*$D$142)</f>
        <v>#REF!</v>
      </c>
      <c r="G206" s="108" t="e">
        <f>$D$143*A206*1000</f>
        <v>#REF!</v>
      </c>
      <c r="H206" s="108" t="e">
        <f>E206*$D$140</f>
        <v>#REF!</v>
      </c>
      <c r="I206" s="107" t="e">
        <f>F206+G206+H206</f>
        <v>#REF!</v>
      </c>
      <c r="J206" s="106" t="e">
        <f>I206/A206/365/1000</f>
        <v>#REF!</v>
      </c>
      <c r="K206" s="106" t="e">
        <f>$D$44</f>
        <v>#REF!</v>
      </c>
      <c r="L206" s="106" t="e">
        <f>K206+J206</f>
        <v>#REF!</v>
      </c>
      <c r="M206" s="94"/>
      <c r="N206" s="94"/>
    </row>
    <row r="207" spans="1:14">
      <c r="A207" s="94">
        <v>100</v>
      </c>
      <c r="B207" s="94">
        <v>100</v>
      </c>
      <c r="C207" s="107">
        <v>1</v>
      </c>
      <c r="D207" s="107">
        <f>'SNB-Average'!F107</f>
        <v>1</v>
      </c>
      <c r="E207" s="109">
        <v>0</v>
      </c>
      <c r="F207" s="108" t="e">
        <f>(C207*$D$141)+(D207*$D$142)</f>
        <v>#REF!</v>
      </c>
      <c r="G207" s="108" t="e">
        <f>$D$143*A207*1000</f>
        <v>#REF!</v>
      </c>
      <c r="H207" s="108" t="e">
        <f>E207*$D$140</f>
        <v>#REF!</v>
      </c>
      <c r="I207" s="107" t="e">
        <f>F207+G207+H207</f>
        <v>#REF!</v>
      </c>
      <c r="J207" s="106" t="e">
        <f>I207/A207/365/1000</f>
        <v>#REF!</v>
      </c>
      <c r="K207" s="106" t="e">
        <f>$D$44</f>
        <v>#REF!</v>
      </c>
      <c r="L207" s="106" t="e">
        <f>K207+J207</f>
        <v>#REF!</v>
      </c>
      <c r="M207" s="94"/>
      <c r="N207" s="94"/>
    </row>
    <row r="208" spans="1:14">
      <c r="A208" s="94">
        <v>150</v>
      </c>
      <c r="B208" s="94">
        <v>150</v>
      </c>
      <c r="C208" s="107">
        <v>1</v>
      </c>
      <c r="D208" s="107">
        <f>'SNB-Average'!F109</f>
        <v>6</v>
      </c>
      <c r="E208" s="109">
        <v>0</v>
      </c>
      <c r="F208" s="108" t="e">
        <f>(C208*$D$141)+(D208*$D$142)</f>
        <v>#REF!</v>
      </c>
      <c r="G208" s="108" t="e">
        <f>$D$143*A208*1000</f>
        <v>#REF!</v>
      </c>
      <c r="H208" s="108" t="e">
        <f>E208*$D$140</f>
        <v>#REF!</v>
      </c>
      <c r="I208" s="107" t="e">
        <f>F208+G208+H208</f>
        <v>#REF!</v>
      </c>
      <c r="J208" s="106" t="e">
        <f>I208/A208/365/1000</f>
        <v>#REF!</v>
      </c>
      <c r="K208" s="106" t="e">
        <f>$D$44</f>
        <v>#REF!</v>
      </c>
      <c r="L208" s="106" t="e">
        <f>K208+J208</f>
        <v>#REF!</v>
      </c>
      <c r="M208" s="94"/>
      <c r="N208" s="94"/>
    </row>
    <row r="209" spans="1:14">
      <c r="A209" s="94">
        <v>200</v>
      </c>
      <c r="B209" s="94">
        <v>200</v>
      </c>
      <c r="C209" s="107">
        <v>1</v>
      </c>
      <c r="D209" s="107">
        <f>'SNB-Average'!F110</f>
        <v>6</v>
      </c>
      <c r="E209" s="109">
        <v>0</v>
      </c>
      <c r="F209" s="108" t="e">
        <f>(C209*$D$141)+(D209*$D$142)</f>
        <v>#REF!</v>
      </c>
      <c r="G209" s="108" t="e">
        <f>$D$143*A209*1000</f>
        <v>#REF!</v>
      </c>
      <c r="H209" s="108" t="e">
        <f>E209*$D$140</f>
        <v>#REF!</v>
      </c>
      <c r="I209" s="107" t="e">
        <f>F209+G209+H209</f>
        <v>#REF!</v>
      </c>
      <c r="J209" s="106" t="e">
        <f>I209/A209/365/1000</f>
        <v>#REF!</v>
      </c>
      <c r="K209" s="106" t="e">
        <f>$D$44</f>
        <v>#REF!</v>
      </c>
      <c r="L209" s="106" t="e">
        <f>K209+J209</f>
        <v>#REF!</v>
      </c>
      <c r="M209" s="94"/>
      <c r="N209" s="94"/>
    </row>
    <row r="210" spans="1:14">
      <c r="A210" s="94"/>
      <c r="B210" s="94"/>
      <c r="C210" s="94"/>
      <c r="D210" s="94"/>
      <c r="E210" s="94"/>
      <c r="F210" s="94"/>
      <c r="G210" s="94"/>
      <c r="H210" s="94"/>
      <c r="I210" s="94"/>
      <c r="J210" s="94"/>
      <c r="K210" s="94"/>
      <c r="L210" s="94"/>
      <c r="M210" s="105" t="s">
        <v>103</v>
      </c>
      <c r="N210" s="94"/>
    </row>
    <row r="211" spans="1:14">
      <c r="A211" s="94"/>
      <c r="B211" s="94"/>
      <c r="C211" s="94"/>
      <c r="D211" s="94"/>
      <c r="E211" s="94"/>
      <c r="F211" s="94"/>
      <c r="G211" s="94"/>
      <c r="H211" s="94"/>
      <c r="I211" s="94"/>
      <c r="J211" s="104" t="s">
        <v>102</v>
      </c>
      <c r="K211" s="94"/>
      <c r="L211" s="103" t="e">
        <f>AVERAGE(L206:L209)</f>
        <v>#REF!</v>
      </c>
      <c r="M211" s="94"/>
      <c r="N211" s="94"/>
    </row>
    <row r="212" spans="1:14">
      <c r="A212" s="94"/>
      <c r="B212" s="94"/>
      <c r="C212" s="94"/>
      <c r="D212" s="94"/>
      <c r="E212" s="94"/>
      <c r="F212" s="94"/>
      <c r="G212" s="94"/>
      <c r="H212" s="94"/>
      <c r="I212" s="94"/>
      <c r="J212" s="104"/>
      <c r="K212" s="94"/>
      <c r="L212" s="103"/>
      <c r="M212" s="102" t="s">
        <v>101</v>
      </c>
      <c r="N212" s="94"/>
    </row>
    <row r="213" spans="1:14" ht="15.6">
      <c r="A213" s="94"/>
      <c r="B213" s="94"/>
      <c r="C213" s="101"/>
      <c r="D213" s="100"/>
      <c r="E213" s="100"/>
      <c r="F213" s="100"/>
      <c r="G213" s="100"/>
      <c r="H213" s="100"/>
      <c r="I213" s="100"/>
      <c r="J213" s="99" t="s">
        <v>100</v>
      </c>
      <c r="K213" s="98"/>
      <c r="L213" s="97" t="e">
        <f>ROUND((L184+L197+L211)/3,5)</f>
        <v>#REF!</v>
      </c>
      <c r="M213" s="94"/>
      <c r="N213" s="94"/>
    </row>
    <row r="214" spans="1:14">
      <c r="A214" s="94"/>
      <c r="B214" s="94"/>
      <c r="C214" s="94"/>
      <c r="D214" s="93"/>
      <c r="E214" s="93"/>
      <c r="F214" s="93"/>
      <c r="G214" s="94"/>
      <c r="H214" s="94"/>
      <c r="I214" s="94"/>
      <c r="J214" s="94"/>
      <c r="K214" s="94"/>
      <c r="L214" s="94"/>
      <c r="M214" s="94"/>
      <c r="N214" s="94"/>
    </row>
    <row r="215" spans="1:14" ht="15.6">
      <c r="A215" s="94"/>
      <c r="B215" s="94"/>
      <c r="C215" s="94"/>
      <c r="D215" s="93"/>
      <c r="E215" s="93"/>
      <c r="F215" s="93"/>
      <c r="G215" s="94"/>
      <c r="H215" s="94"/>
      <c r="I215" s="93"/>
      <c r="J215" s="95"/>
      <c r="K215" s="96"/>
      <c r="L215" s="95" t="s">
        <v>99</v>
      </c>
      <c r="M215" s="94"/>
      <c r="N215" s="94"/>
    </row>
    <row r="216" spans="1:14" ht="14.4" thickBot="1">
      <c r="A216" s="94"/>
      <c r="B216" s="94"/>
      <c r="C216" s="94"/>
      <c r="D216" s="93"/>
      <c r="E216" s="93"/>
      <c r="F216" s="93"/>
      <c r="G216" s="94"/>
      <c r="H216" s="94"/>
      <c r="I216" s="94"/>
      <c r="J216" s="94"/>
      <c r="K216" s="94"/>
      <c r="L216" s="94"/>
      <c r="M216" s="94"/>
      <c r="N216" s="94"/>
    </row>
    <row r="217" spans="1:14" ht="16.2" thickBot="1">
      <c r="A217" s="94"/>
      <c r="B217" s="94"/>
      <c r="C217" s="94"/>
      <c r="D217" s="93"/>
      <c r="E217" s="93"/>
      <c r="F217" s="93"/>
      <c r="G217" s="92"/>
      <c r="H217" s="91"/>
      <c r="I217" s="91"/>
      <c r="J217" s="90" t="s">
        <v>98</v>
      </c>
      <c r="K217" s="89"/>
      <c r="L217" s="88" t="e">
        <f>ROUND((L213*365/12),5)</f>
        <v>#REF!</v>
      </c>
    </row>
    <row r="218" spans="1:14">
      <c r="K218" s="49"/>
    </row>
    <row r="219" spans="1:14">
      <c r="K219" s="49"/>
    </row>
    <row r="220" spans="1:14" s="87" customFormat="1"/>
  </sheetData>
  <mergeCells count="5">
    <mergeCell ref="D53:G53"/>
    <mergeCell ref="B56:B61"/>
    <mergeCell ref="B62:B66"/>
    <mergeCell ref="B67:B70"/>
    <mergeCell ref="B71:B73"/>
  </mergeCells>
  <pageMargins left="0.75" right="0.75" top="1" bottom="1" header="0.5" footer="0.5"/>
  <pageSetup paperSize="5" scale="47" fitToHeight="4" orientation="landscape" r:id="rId1"/>
  <headerFooter alignWithMargins="0"/>
  <rowBreaks count="3" manualBreakCount="3">
    <brk id="46" max="12" man="1"/>
    <brk id="111" max="12" man="1"/>
    <brk id="147"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221"/>
  <sheetViews>
    <sheetView view="pageBreakPreview" topLeftCell="A106" zoomScale="75" zoomScaleNormal="75" zoomScaleSheetLayoutView="75" workbookViewId="0">
      <selection activeCell="F134" sqref="F134"/>
    </sheetView>
  </sheetViews>
  <sheetFormatPr defaultRowHeight="13.8"/>
  <cols>
    <col min="1" max="1" width="10.5546875" style="13" bestFit="1" customWidth="1"/>
    <col min="2" max="2" width="44.109375" style="13" customWidth="1"/>
    <col min="3" max="3" width="14.6640625" style="13" customWidth="1"/>
    <col min="4" max="4" width="23.6640625" style="13" bestFit="1" customWidth="1"/>
    <col min="5" max="5" width="11.88671875" style="13" customWidth="1"/>
    <col min="6" max="6" width="20.6640625" style="13" customWidth="1"/>
    <col min="7" max="7" width="15.6640625" style="13" customWidth="1"/>
    <col min="8" max="8" width="16.109375" style="13" bestFit="1" customWidth="1"/>
    <col min="9" max="9" width="20.88671875" style="13" customWidth="1"/>
    <col min="10" max="10" width="13.6640625" style="13" customWidth="1"/>
    <col min="11" max="11" width="12.6640625" style="13" bestFit="1" customWidth="1"/>
    <col min="12" max="12" width="18.5546875" style="13" customWidth="1"/>
    <col min="13" max="13" width="17.6640625" style="13" customWidth="1"/>
    <col min="14" max="14" width="13.33203125" style="13" bestFit="1" customWidth="1"/>
    <col min="15" max="15" width="16.33203125" style="13" bestFit="1" customWidth="1"/>
    <col min="16" max="16" width="9.33203125" style="13" bestFit="1" customWidth="1"/>
    <col min="17" max="17" width="13" style="13" bestFit="1" customWidth="1"/>
    <col min="18" max="18" width="20.109375" style="13" bestFit="1" customWidth="1"/>
    <col min="19" max="19" width="50.33203125" style="13" bestFit="1" customWidth="1"/>
    <col min="20" max="20" width="16.109375" style="13" bestFit="1" customWidth="1"/>
    <col min="21" max="21" width="12.33203125" style="13" customWidth="1"/>
    <col min="22" max="22" width="18.88671875" style="13" bestFit="1" customWidth="1"/>
    <col min="23" max="23" width="16.6640625" style="13" customWidth="1"/>
    <col min="24" max="24" width="19" style="13" bestFit="1" customWidth="1"/>
    <col min="25" max="25" width="9.109375" style="13"/>
    <col min="26" max="26" width="18.88671875" style="13" bestFit="1" customWidth="1"/>
    <col min="27" max="256" width="9.109375" style="13"/>
    <col min="257" max="257" width="10.5546875" style="13" bestFit="1" customWidth="1"/>
    <col min="258" max="258" width="44.109375" style="13" customWidth="1"/>
    <col min="259" max="259" width="14.6640625" style="13" customWidth="1"/>
    <col min="260" max="260" width="23.6640625" style="13" bestFit="1" customWidth="1"/>
    <col min="261" max="261" width="11.88671875" style="13" customWidth="1"/>
    <col min="262" max="262" width="20.6640625" style="13" customWidth="1"/>
    <col min="263" max="263" width="15.6640625" style="13" customWidth="1"/>
    <col min="264" max="265" width="16.109375" style="13" bestFit="1" customWidth="1"/>
    <col min="266" max="266" width="13.6640625" style="13" customWidth="1"/>
    <col min="267" max="267" width="12.6640625" style="13" bestFit="1" customWidth="1"/>
    <col min="268" max="268" width="15.5546875" style="13" customWidth="1"/>
    <col min="269" max="269" width="16.109375" style="13" bestFit="1" customWidth="1"/>
    <col min="270" max="270" width="13.33203125" style="13" bestFit="1" customWidth="1"/>
    <col min="271" max="271" width="16.33203125" style="13" bestFit="1" customWidth="1"/>
    <col min="272" max="272" width="9.33203125" style="13" bestFit="1" customWidth="1"/>
    <col min="273" max="273" width="13" style="13" bestFit="1" customWidth="1"/>
    <col min="274" max="274" width="20.109375" style="13" bestFit="1" customWidth="1"/>
    <col min="275" max="275" width="50.33203125" style="13" bestFit="1" customWidth="1"/>
    <col min="276" max="276" width="16.109375" style="13" bestFit="1" customWidth="1"/>
    <col min="277" max="277" width="12.33203125" style="13" customWidth="1"/>
    <col min="278" max="278" width="18.88671875" style="13" bestFit="1" customWidth="1"/>
    <col min="279" max="279" width="16.6640625" style="13" customWidth="1"/>
    <col min="280" max="280" width="19" style="13" bestFit="1" customWidth="1"/>
    <col min="281" max="281" width="9.109375" style="13"/>
    <col min="282" max="282" width="18.88671875" style="13" bestFit="1" customWidth="1"/>
    <col min="283" max="512" width="9.109375" style="13"/>
    <col min="513" max="513" width="10.5546875" style="13" bestFit="1" customWidth="1"/>
    <col min="514" max="514" width="44.109375" style="13" customWidth="1"/>
    <col min="515" max="515" width="14.6640625" style="13" customWidth="1"/>
    <col min="516" max="516" width="23.6640625" style="13" bestFit="1" customWidth="1"/>
    <col min="517" max="517" width="11.88671875" style="13" customWidth="1"/>
    <col min="518" max="518" width="20.6640625" style="13" customWidth="1"/>
    <col min="519" max="519" width="15.6640625" style="13" customWidth="1"/>
    <col min="520" max="521" width="16.109375" style="13" bestFit="1" customWidth="1"/>
    <col min="522" max="522" width="13.6640625" style="13" customWidth="1"/>
    <col min="523" max="523" width="12.6640625" style="13" bestFit="1" customWidth="1"/>
    <col min="524" max="524" width="15.5546875" style="13" customWidth="1"/>
    <col min="525" max="525" width="16.109375" style="13" bestFit="1" customWidth="1"/>
    <col min="526" max="526" width="13.33203125" style="13" bestFit="1" customWidth="1"/>
    <col min="527" max="527" width="16.33203125" style="13" bestFit="1" customWidth="1"/>
    <col min="528" max="528" width="9.33203125" style="13" bestFit="1" customWidth="1"/>
    <col min="529" max="529" width="13" style="13" bestFit="1" customWidth="1"/>
    <col min="530" max="530" width="20.109375" style="13" bestFit="1" customWidth="1"/>
    <col min="531" max="531" width="50.33203125" style="13" bestFit="1" customWidth="1"/>
    <col min="532" max="532" width="16.109375" style="13" bestFit="1" customWidth="1"/>
    <col min="533" max="533" width="12.33203125" style="13" customWidth="1"/>
    <col min="534" max="534" width="18.88671875" style="13" bestFit="1" customWidth="1"/>
    <col min="535" max="535" width="16.6640625" style="13" customWidth="1"/>
    <col min="536" max="536" width="19" style="13" bestFit="1" customWidth="1"/>
    <col min="537" max="537" width="9.109375" style="13"/>
    <col min="538" max="538" width="18.88671875" style="13" bestFit="1" customWidth="1"/>
    <col min="539" max="768" width="9.109375" style="13"/>
    <col min="769" max="769" width="10.5546875" style="13" bestFit="1" customWidth="1"/>
    <col min="770" max="770" width="44.109375" style="13" customWidth="1"/>
    <col min="771" max="771" width="14.6640625" style="13" customWidth="1"/>
    <col min="772" max="772" width="23.6640625" style="13" bestFit="1" customWidth="1"/>
    <col min="773" max="773" width="11.88671875" style="13" customWidth="1"/>
    <col min="774" max="774" width="20.6640625" style="13" customWidth="1"/>
    <col min="775" max="775" width="15.6640625" style="13" customWidth="1"/>
    <col min="776" max="777" width="16.109375" style="13" bestFit="1" customWidth="1"/>
    <col min="778" max="778" width="13.6640625" style="13" customWidth="1"/>
    <col min="779" max="779" width="12.6640625" style="13" bestFit="1" customWidth="1"/>
    <col min="780" max="780" width="15.5546875" style="13" customWidth="1"/>
    <col min="781" max="781" width="16.109375" style="13" bestFit="1" customWidth="1"/>
    <col min="782" max="782" width="13.33203125" style="13" bestFit="1" customWidth="1"/>
    <col min="783" max="783" width="16.33203125" style="13" bestFit="1" customWidth="1"/>
    <col min="784" max="784" width="9.33203125" style="13" bestFit="1" customWidth="1"/>
    <col min="785" max="785" width="13" style="13" bestFit="1" customWidth="1"/>
    <col min="786" max="786" width="20.109375" style="13" bestFit="1" customWidth="1"/>
    <col min="787" max="787" width="50.33203125" style="13" bestFit="1" customWidth="1"/>
    <col min="788" max="788" width="16.109375" style="13" bestFit="1" customWidth="1"/>
    <col min="789" max="789" width="12.33203125" style="13" customWidth="1"/>
    <col min="790" max="790" width="18.88671875" style="13" bestFit="1" customWidth="1"/>
    <col min="791" max="791" width="16.6640625" style="13" customWidth="1"/>
    <col min="792" max="792" width="19" style="13" bestFit="1" customWidth="1"/>
    <col min="793" max="793" width="9.109375" style="13"/>
    <col min="794" max="794" width="18.88671875" style="13" bestFit="1" customWidth="1"/>
    <col min="795" max="1024" width="9.109375" style="13"/>
    <col min="1025" max="1025" width="10.5546875" style="13" bestFit="1" customWidth="1"/>
    <col min="1026" max="1026" width="44.109375" style="13" customWidth="1"/>
    <col min="1027" max="1027" width="14.6640625" style="13" customWidth="1"/>
    <col min="1028" max="1028" width="23.6640625" style="13" bestFit="1" customWidth="1"/>
    <col min="1029" max="1029" width="11.88671875" style="13" customWidth="1"/>
    <col min="1030" max="1030" width="20.6640625" style="13" customWidth="1"/>
    <col min="1031" max="1031" width="15.6640625" style="13" customWidth="1"/>
    <col min="1032" max="1033" width="16.109375" style="13" bestFit="1" customWidth="1"/>
    <col min="1034" max="1034" width="13.6640625" style="13" customWidth="1"/>
    <col min="1035" max="1035" width="12.6640625" style="13" bestFit="1" customWidth="1"/>
    <col min="1036" max="1036" width="15.5546875" style="13" customWidth="1"/>
    <col min="1037" max="1037" width="16.109375" style="13" bestFit="1" customWidth="1"/>
    <col min="1038" max="1038" width="13.33203125" style="13" bestFit="1" customWidth="1"/>
    <col min="1039" max="1039" width="16.33203125" style="13" bestFit="1" customWidth="1"/>
    <col min="1040" max="1040" width="9.33203125" style="13" bestFit="1" customWidth="1"/>
    <col min="1041" max="1041" width="13" style="13" bestFit="1" customWidth="1"/>
    <col min="1042" max="1042" width="20.109375" style="13" bestFit="1" customWidth="1"/>
    <col min="1043" max="1043" width="50.33203125" style="13" bestFit="1" customWidth="1"/>
    <col min="1044" max="1044" width="16.109375" style="13" bestFit="1" customWidth="1"/>
    <col min="1045" max="1045" width="12.33203125" style="13" customWidth="1"/>
    <col min="1046" max="1046" width="18.88671875" style="13" bestFit="1" customWidth="1"/>
    <col min="1047" max="1047" width="16.6640625" style="13" customWidth="1"/>
    <col min="1048" max="1048" width="19" style="13" bestFit="1" customWidth="1"/>
    <col min="1049" max="1049" width="9.109375" style="13"/>
    <col min="1050" max="1050" width="18.88671875" style="13" bestFit="1" customWidth="1"/>
    <col min="1051" max="1280" width="9.109375" style="13"/>
    <col min="1281" max="1281" width="10.5546875" style="13" bestFit="1" customWidth="1"/>
    <col min="1282" max="1282" width="44.109375" style="13" customWidth="1"/>
    <col min="1283" max="1283" width="14.6640625" style="13" customWidth="1"/>
    <col min="1284" max="1284" width="23.6640625" style="13" bestFit="1" customWidth="1"/>
    <col min="1285" max="1285" width="11.88671875" style="13" customWidth="1"/>
    <col min="1286" max="1286" width="20.6640625" style="13" customWidth="1"/>
    <col min="1287" max="1287" width="15.6640625" style="13" customWidth="1"/>
    <col min="1288" max="1289" width="16.109375" style="13" bestFit="1" customWidth="1"/>
    <col min="1290" max="1290" width="13.6640625" style="13" customWidth="1"/>
    <col min="1291" max="1291" width="12.6640625" style="13" bestFit="1" customWidth="1"/>
    <col min="1292" max="1292" width="15.5546875" style="13" customWidth="1"/>
    <col min="1293" max="1293" width="16.109375" style="13" bestFit="1" customWidth="1"/>
    <col min="1294" max="1294" width="13.33203125" style="13" bestFit="1" customWidth="1"/>
    <col min="1295" max="1295" width="16.33203125" style="13" bestFit="1" customWidth="1"/>
    <col min="1296" max="1296" width="9.33203125" style="13" bestFit="1" customWidth="1"/>
    <col min="1297" max="1297" width="13" style="13" bestFit="1" customWidth="1"/>
    <col min="1298" max="1298" width="20.109375" style="13" bestFit="1" customWidth="1"/>
    <col min="1299" max="1299" width="50.33203125" style="13" bestFit="1" customWidth="1"/>
    <col min="1300" max="1300" width="16.109375" style="13" bestFit="1" customWidth="1"/>
    <col min="1301" max="1301" width="12.33203125" style="13" customWidth="1"/>
    <col min="1302" max="1302" width="18.88671875" style="13" bestFit="1" customWidth="1"/>
    <col min="1303" max="1303" width="16.6640625" style="13" customWidth="1"/>
    <col min="1304" max="1304" width="19" style="13" bestFit="1" customWidth="1"/>
    <col min="1305" max="1305" width="9.109375" style="13"/>
    <col min="1306" max="1306" width="18.88671875" style="13" bestFit="1" customWidth="1"/>
    <col min="1307" max="1536" width="9.109375" style="13"/>
    <col min="1537" max="1537" width="10.5546875" style="13" bestFit="1" customWidth="1"/>
    <col min="1538" max="1538" width="44.109375" style="13" customWidth="1"/>
    <col min="1539" max="1539" width="14.6640625" style="13" customWidth="1"/>
    <col min="1540" max="1540" width="23.6640625" style="13" bestFit="1" customWidth="1"/>
    <col min="1541" max="1541" width="11.88671875" style="13" customWidth="1"/>
    <col min="1542" max="1542" width="20.6640625" style="13" customWidth="1"/>
    <col min="1543" max="1543" width="15.6640625" style="13" customWidth="1"/>
    <col min="1544" max="1545" width="16.109375" style="13" bestFit="1" customWidth="1"/>
    <col min="1546" max="1546" width="13.6640625" style="13" customWidth="1"/>
    <col min="1547" max="1547" width="12.6640625" style="13" bestFit="1" customWidth="1"/>
    <col min="1548" max="1548" width="15.5546875" style="13" customWidth="1"/>
    <col min="1549" max="1549" width="16.109375" style="13" bestFit="1" customWidth="1"/>
    <col min="1550" max="1550" width="13.33203125" style="13" bestFit="1" customWidth="1"/>
    <col min="1551" max="1551" width="16.33203125" style="13" bestFit="1" customWidth="1"/>
    <col min="1552" max="1552" width="9.33203125" style="13" bestFit="1" customWidth="1"/>
    <col min="1553" max="1553" width="13" style="13" bestFit="1" customWidth="1"/>
    <col min="1554" max="1554" width="20.109375" style="13" bestFit="1" customWidth="1"/>
    <col min="1555" max="1555" width="50.33203125" style="13" bestFit="1" customWidth="1"/>
    <col min="1556" max="1556" width="16.109375" style="13" bestFit="1" customWidth="1"/>
    <col min="1557" max="1557" width="12.33203125" style="13" customWidth="1"/>
    <col min="1558" max="1558" width="18.88671875" style="13" bestFit="1" customWidth="1"/>
    <col min="1559" max="1559" width="16.6640625" style="13" customWidth="1"/>
    <col min="1560" max="1560" width="19" style="13" bestFit="1" customWidth="1"/>
    <col min="1561" max="1561" width="9.109375" style="13"/>
    <col min="1562" max="1562" width="18.88671875" style="13" bestFit="1" customWidth="1"/>
    <col min="1563" max="1792" width="9.109375" style="13"/>
    <col min="1793" max="1793" width="10.5546875" style="13" bestFit="1" customWidth="1"/>
    <col min="1794" max="1794" width="44.109375" style="13" customWidth="1"/>
    <col min="1795" max="1795" width="14.6640625" style="13" customWidth="1"/>
    <col min="1796" max="1796" width="23.6640625" style="13" bestFit="1" customWidth="1"/>
    <col min="1797" max="1797" width="11.88671875" style="13" customWidth="1"/>
    <col min="1798" max="1798" width="20.6640625" style="13" customWidth="1"/>
    <col min="1799" max="1799" width="15.6640625" style="13" customWidth="1"/>
    <col min="1800" max="1801" width="16.109375" style="13" bestFit="1" customWidth="1"/>
    <col min="1802" max="1802" width="13.6640625" style="13" customWidth="1"/>
    <col min="1803" max="1803" width="12.6640625" style="13" bestFit="1" customWidth="1"/>
    <col min="1804" max="1804" width="15.5546875" style="13" customWidth="1"/>
    <col min="1805" max="1805" width="16.109375" style="13" bestFit="1" customWidth="1"/>
    <col min="1806" max="1806" width="13.33203125" style="13" bestFit="1" customWidth="1"/>
    <col min="1807" max="1807" width="16.33203125" style="13" bestFit="1" customWidth="1"/>
    <col min="1808" max="1808" width="9.33203125" style="13" bestFit="1" customWidth="1"/>
    <col min="1809" max="1809" width="13" style="13" bestFit="1" customWidth="1"/>
    <col min="1810" max="1810" width="20.109375" style="13" bestFit="1" customWidth="1"/>
    <col min="1811" max="1811" width="50.33203125" style="13" bestFit="1" customWidth="1"/>
    <col min="1812" max="1812" width="16.109375" style="13" bestFit="1" customWidth="1"/>
    <col min="1813" max="1813" width="12.33203125" style="13" customWidth="1"/>
    <col min="1814" max="1814" width="18.88671875" style="13" bestFit="1" customWidth="1"/>
    <col min="1815" max="1815" width="16.6640625" style="13" customWidth="1"/>
    <col min="1816" max="1816" width="19" style="13" bestFit="1" customWidth="1"/>
    <col min="1817" max="1817" width="9.109375" style="13"/>
    <col min="1818" max="1818" width="18.88671875" style="13" bestFit="1" customWidth="1"/>
    <col min="1819" max="2048" width="9.109375" style="13"/>
    <col min="2049" max="2049" width="10.5546875" style="13" bestFit="1" customWidth="1"/>
    <col min="2050" max="2050" width="44.109375" style="13" customWidth="1"/>
    <col min="2051" max="2051" width="14.6640625" style="13" customWidth="1"/>
    <col min="2052" max="2052" width="23.6640625" style="13" bestFit="1" customWidth="1"/>
    <col min="2053" max="2053" width="11.88671875" style="13" customWidth="1"/>
    <col min="2054" max="2054" width="20.6640625" style="13" customWidth="1"/>
    <col min="2055" max="2055" width="15.6640625" style="13" customWidth="1"/>
    <col min="2056" max="2057" width="16.109375" style="13" bestFit="1" customWidth="1"/>
    <col min="2058" max="2058" width="13.6640625" style="13" customWidth="1"/>
    <col min="2059" max="2059" width="12.6640625" style="13" bestFit="1" customWidth="1"/>
    <col min="2060" max="2060" width="15.5546875" style="13" customWidth="1"/>
    <col min="2061" max="2061" width="16.109375" style="13" bestFit="1" customWidth="1"/>
    <col min="2062" max="2062" width="13.33203125" style="13" bestFit="1" customWidth="1"/>
    <col min="2063" max="2063" width="16.33203125" style="13" bestFit="1" customWidth="1"/>
    <col min="2064" max="2064" width="9.33203125" style="13" bestFit="1" customWidth="1"/>
    <col min="2065" max="2065" width="13" style="13" bestFit="1" customWidth="1"/>
    <col min="2066" max="2066" width="20.109375" style="13" bestFit="1" customWidth="1"/>
    <col min="2067" max="2067" width="50.33203125" style="13" bestFit="1" customWidth="1"/>
    <col min="2068" max="2068" width="16.109375" style="13" bestFit="1" customWidth="1"/>
    <col min="2069" max="2069" width="12.33203125" style="13" customWidth="1"/>
    <col min="2070" max="2070" width="18.88671875" style="13" bestFit="1" customWidth="1"/>
    <col min="2071" max="2071" width="16.6640625" style="13" customWidth="1"/>
    <col min="2072" max="2072" width="19" style="13" bestFit="1" customWidth="1"/>
    <col min="2073" max="2073" width="9.109375" style="13"/>
    <col min="2074" max="2074" width="18.88671875" style="13" bestFit="1" customWidth="1"/>
    <col min="2075" max="2304" width="9.109375" style="13"/>
    <col min="2305" max="2305" width="10.5546875" style="13" bestFit="1" customWidth="1"/>
    <col min="2306" max="2306" width="44.109375" style="13" customWidth="1"/>
    <col min="2307" max="2307" width="14.6640625" style="13" customWidth="1"/>
    <col min="2308" max="2308" width="23.6640625" style="13" bestFit="1" customWidth="1"/>
    <col min="2309" max="2309" width="11.88671875" style="13" customWidth="1"/>
    <col min="2310" max="2310" width="20.6640625" style="13" customWidth="1"/>
    <col min="2311" max="2311" width="15.6640625" style="13" customWidth="1"/>
    <col min="2312" max="2313" width="16.109375" style="13" bestFit="1" customWidth="1"/>
    <col min="2314" max="2314" width="13.6640625" style="13" customWidth="1"/>
    <col min="2315" max="2315" width="12.6640625" style="13" bestFit="1" customWidth="1"/>
    <col min="2316" max="2316" width="15.5546875" style="13" customWidth="1"/>
    <col min="2317" max="2317" width="16.109375" style="13" bestFit="1" customWidth="1"/>
    <col min="2318" max="2318" width="13.33203125" style="13" bestFit="1" customWidth="1"/>
    <col min="2319" max="2319" width="16.33203125" style="13" bestFit="1" customWidth="1"/>
    <col min="2320" max="2320" width="9.33203125" style="13" bestFit="1" customWidth="1"/>
    <col min="2321" max="2321" width="13" style="13" bestFit="1" customWidth="1"/>
    <col min="2322" max="2322" width="20.109375" style="13" bestFit="1" customWidth="1"/>
    <col min="2323" max="2323" width="50.33203125" style="13" bestFit="1" customWidth="1"/>
    <col min="2324" max="2324" width="16.109375" style="13" bestFit="1" customWidth="1"/>
    <col min="2325" max="2325" width="12.33203125" style="13" customWidth="1"/>
    <col min="2326" max="2326" width="18.88671875" style="13" bestFit="1" customWidth="1"/>
    <col min="2327" max="2327" width="16.6640625" style="13" customWidth="1"/>
    <col min="2328" max="2328" width="19" style="13" bestFit="1" customWidth="1"/>
    <col min="2329" max="2329" width="9.109375" style="13"/>
    <col min="2330" max="2330" width="18.88671875" style="13" bestFit="1" customWidth="1"/>
    <col min="2331" max="2560" width="9.109375" style="13"/>
    <col min="2561" max="2561" width="10.5546875" style="13" bestFit="1" customWidth="1"/>
    <col min="2562" max="2562" width="44.109375" style="13" customWidth="1"/>
    <col min="2563" max="2563" width="14.6640625" style="13" customWidth="1"/>
    <col min="2564" max="2564" width="23.6640625" style="13" bestFit="1" customWidth="1"/>
    <col min="2565" max="2565" width="11.88671875" style="13" customWidth="1"/>
    <col min="2566" max="2566" width="20.6640625" style="13" customWidth="1"/>
    <col min="2567" max="2567" width="15.6640625" style="13" customWidth="1"/>
    <col min="2568" max="2569" width="16.109375" style="13" bestFit="1" customWidth="1"/>
    <col min="2570" max="2570" width="13.6640625" style="13" customWidth="1"/>
    <col min="2571" max="2571" width="12.6640625" style="13" bestFit="1" customWidth="1"/>
    <col min="2572" max="2572" width="15.5546875" style="13" customWidth="1"/>
    <col min="2573" max="2573" width="16.109375" style="13" bestFit="1" customWidth="1"/>
    <col min="2574" max="2574" width="13.33203125" style="13" bestFit="1" customWidth="1"/>
    <col min="2575" max="2575" width="16.33203125" style="13" bestFit="1" customWidth="1"/>
    <col min="2576" max="2576" width="9.33203125" style="13" bestFit="1" customWidth="1"/>
    <col min="2577" max="2577" width="13" style="13" bestFit="1" customWidth="1"/>
    <col min="2578" max="2578" width="20.109375" style="13" bestFit="1" customWidth="1"/>
    <col min="2579" max="2579" width="50.33203125" style="13" bestFit="1" customWidth="1"/>
    <col min="2580" max="2580" width="16.109375" style="13" bestFit="1" customWidth="1"/>
    <col min="2581" max="2581" width="12.33203125" style="13" customWidth="1"/>
    <col min="2582" max="2582" width="18.88671875" style="13" bestFit="1" customWidth="1"/>
    <col min="2583" max="2583" width="16.6640625" style="13" customWidth="1"/>
    <col min="2584" max="2584" width="19" style="13" bestFit="1" customWidth="1"/>
    <col min="2585" max="2585" width="9.109375" style="13"/>
    <col min="2586" max="2586" width="18.88671875" style="13" bestFit="1" customWidth="1"/>
    <col min="2587" max="2816" width="9.109375" style="13"/>
    <col min="2817" max="2817" width="10.5546875" style="13" bestFit="1" customWidth="1"/>
    <col min="2818" max="2818" width="44.109375" style="13" customWidth="1"/>
    <col min="2819" max="2819" width="14.6640625" style="13" customWidth="1"/>
    <col min="2820" max="2820" width="23.6640625" style="13" bestFit="1" customWidth="1"/>
    <col min="2821" max="2821" width="11.88671875" style="13" customWidth="1"/>
    <col min="2822" max="2822" width="20.6640625" style="13" customWidth="1"/>
    <col min="2823" max="2823" width="15.6640625" style="13" customWidth="1"/>
    <col min="2824" max="2825" width="16.109375" style="13" bestFit="1" customWidth="1"/>
    <col min="2826" max="2826" width="13.6640625" style="13" customWidth="1"/>
    <col min="2827" max="2827" width="12.6640625" style="13" bestFit="1" customWidth="1"/>
    <col min="2828" max="2828" width="15.5546875" style="13" customWidth="1"/>
    <col min="2829" max="2829" width="16.109375" style="13" bestFit="1" customWidth="1"/>
    <col min="2830" max="2830" width="13.33203125" style="13" bestFit="1" customWidth="1"/>
    <col min="2831" max="2831" width="16.33203125" style="13" bestFit="1" customWidth="1"/>
    <col min="2832" max="2832" width="9.33203125" style="13" bestFit="1" customWidth="1"/>
    <col min="2833" max="2833" width="13" style="13" bestFit="1" customWidth="1"/>
    <col min="2834" max="2834" width="20.109375" style="13" bestFit="1" customWidth="1"/>
    <col min="2835" max="2835" width="50.33203125" style="13" bestFit="1" customWidth="1"/>
    <col min="2836" max="2836" width="16.109375" style="13" bestFit="1" customWidth="1"/>
    <col min="2837" max="2837" width="12.33203125" style="13" customWidth="1"/>
    <col min="2838" max="2838" width="18.88671875" style="13" bestFit="1" customWidth="1"/>
    <col min="2839" max="2839" width="16.6640625" style="13" customWidth="1"/>
    <col min="2840" max="2840" width="19" style="13" bestFit="1" customWidth="1"/>
    <col min="2841" max="2841" width="9.109375" style="13"/>
    <col min="2842" max="2842" width="18.88671875" style="13" bestFit="1" customWidth="1"/>
    <col min="2843" max="3072" width="9.109375" style="13"/>
    <col min="3073" max="3073" width="10.5546875" style="13" bestFit="1" customWidth="1"/>
    <col min="3074" max="3074" width="44.109375" style="13" customWidth="1"/>
    <col min="3075" max="3075" width="14.6640625" style="13" customWidth="1"/>
    <col min="3076" max="3076" width="23.6640625" style="13" bestFit="1" customWidth="1"/>
    <col min="3077" max="3077" width="11.88671875" style="13" customWidth="1"/>
    <col min="3078" max="3078" width="20.6640625" style="13" customWidth="1"/>
    <col min="3079" max="3079" width="15.6640625" style="13" customWidth="1"/>
    <col min="3080" max="3081" width="16.109375" style="13" bestFit="1" customWidth="1"/>
    <col min="3082" max="3082" width="13.6640625" style="13" customWidth="1"/>
    <col min="3083" max="3083" width="12.6640625" style="13" bestFit="1" customWidth="1"/>
    <col min="3084" max="3084" width="15.5546875" style="13" customWidth="1"/>
    <col min="3085" max="3085" width="16.109375" style="13" bestFit="1" customWidth="1"/>
    <col min="3086" max="3086" width="13.33203125" style="13" bestFit="1" customWidth="1"/>
    <col min="3087" max="3087" width="16.33203125" style="13" bestFit="1" customWidth="1"/>
    <col min="3088" max="3088" width="9.33203125" style="13" bestFit="1" customWidth="1"/>
    <col min="3089" max="3089" width="13" style="13" bestFit="1" customWidth="1"/>
    <col min="3090" max="3090" width="20.109375" style="13" bestFit="1" customWidth="1"/>
    <col min="3091" max="3091" width="50.33203125" style="13" bestFit="1" customWidth="1"/>
    <col min="3092" max="3092" width="16.109375" style="13" bestFit="1" customWidth="1"/>
    <col min="3093" max="3093" width="12.33203125" style="13" customWidth="1"/>
    <col min="3094" max="3094" width="18.88671875" style="13" bestFit="1" customWidth="1"/>
    <col min="3095" max="3095" width="16.6640625" style="13" customWidth="1"/>
    <col min="3096" max="3096" width="19" style="13" bestFit="1" customWidth="1"/>
    <col min="3097" max="3097" width="9.109375" style="13"/>
    <col min="3098" max="3098" width="18.88671875" style="13" bestFit="1" customWidth="1"/>
    <col min="3099" max="3328" width="9.109375" style="13"/>
    <col min="3329" max="3329" width="10.5546875" style="13" bestFit="1" customWidth="1"/>
    <col min="3330" max="3330" width="44.109375" style="13" customWidth="1"/>
    <col min="3331" max="3331" width="14.6640625" style="13" customWidth="1"/>
    <col min="3332" max="3332" width="23.6640625" style="13" bestFit="1" customWidth="1"/>
    <col min="3333" max="3333" width="11.88671875" style="13" customWidth="1"/>
    <col min="3334" max="3334" width="20.6640625" style="13" customWidth="1"/>
    <col min="3335" max="3335" width="15.6640625" style="13" customWidth="1"/>
    <col min="3336" max="3337" width="16.109375" style="13" bestFit="1" customWidth="1"/>
    <col min="3338" max="3338" width="13.6640625" style="13" customWidth="1"/>
    <col min="3339" max="3339" width="12.6640625" style="13" bestFit="1" customWidth="1"/>
    <col min="3340" max="3340" width="15.5546875" style="13" customWidth="1"/>
    <col min="3341" max="3341" width="16.109375" style="13" bestFit="1" customWidth="1"/>
    <col min="3342" max="3342" width="13.33203125" style="13" bestFit="1" customWidth="1"/>
    <col min="3343" max="3343" width="16.33203125" style="13" bestFit="1" customWidth="1"/>
    <col min="3344" max="3344" width="9.33203125" style="13" bestFit="1" customWidth="1"/>
    <col min="3345" max="3345" width="13" style="13" bestFit="1" customWidth="1"/>
    <col min="3346" max="3346" width="20.109375" style="13" bestFit="1" customWidth="1"/>
    <col min="3347" max="3347" width="50.33203125" style="13" bestFit="1" customWidth="1"/>
    <col min="3348" max="3348" width="16.109375" style="13" bestFit="1" customWidth="1"/>
    <col min="3349" max="3349" width="12.33203125" style="13" customWidth="1"/>
    <col min="3350" max="3350" width="18.88671875" style="13" bestFit="1" customWidth="1"/>
    <col min="3351" max="3351" width="16.6640625" style="13" customWidth="1"/>
    <col min="3352" max="3352" width="19" style="13" bestFit="1" customWidth="1"/>
    <col min="3353" max="3353" width="9.109375" style="13"/>
    <col min="3354" max="3354" width="18.88671875" style="13" bestFit="1" customWidth="1"/>
    <col min="3355" max="3584" width="9.109375" style="13"/>
    <col min="3585" max="3585" width="10.5546875" style="13" bestFit="1" customWidth="1"/>
    <col min="3586" max="3586" width="44.109375" style="13" customWidth="1"/>
    <col min="3587" max="3587" width="14.6640625" style="13" customWidth="1"/>
    <col min="3588" max="3588" width="23.6640625" style="13" bestFit="1" customWidth="1"/>
    <col min="3589" max="3589" width="11.88671875" style="13" customWidth="1"/>
    <col min="3590" max="3590" width="20.6640625" style="13" customWidth="1"/>
    <col min="3591" max="3591" width="15.6640625" style="13" customWidth="1"/>
    <col min="3592" max="3593" width="16.109375" style="13" bestFit="1" customWidth="1"/>
    <col min="3594" max="3594" width="13.6640625" style="13" customWidth="1"/>
    <col min="3595" max="3595" width="12.6640625" style="13" bestFit="1" customWidth="1"/>
    <col min="3596" max="3596" width="15.5546875" style="13" customWidth="1"/>
    <col min="3597" max="3597" width="16.109375" style="13" bestFit="1" customWidth="1"/>
    <col min="3598" max="3598" width="13.33203125" style="13" bestFit="1" customWidth="1"/>
    <col min="3599" max="3599" width="16.33203125" style="13" bestFit="1" customWidth="1"/>
    <col min="3600" max="3600" width="9.33203125" style="13" bestFit="1" customWidth="1"/>
    <col min="3601" max="3601" width="13" style="13" bestFit="1" customWidth="1"/>
    <col min="3602" max="3602" width="20.109375" style="13" bestFit="1" customWidth="1"/>
    <col min="3603" max="3603" width="50.33203125" style="13" bestFit="1" customWidth="1"/>
    <col min="3604" max="3604" width="16.109375" style="13" bestFit="1" customWidth="1"/>
    <col min="3605" max="3605" width="12.33203125" style="13" customWidth="1"/>
    <col min="3606" max="3606" width="18.88671875" style="13" bestFit="1" customWidth="1"/>
    <col min="3607" max="3607" width="16.6640625" style="13" customWidth="1"/>
    <col min="3608" max="3608" width="19" style="13" bestFit="1" customWidth="1"/>
    <col min="3609" max="3609" width="9.109375" style="13"/>
    <col min="3610" max="3610" width="18.88671875" style="13" bestFit="1" customWidth="1"/>
    <col min="3611" max="3840" width="9.109375" style="13"/>
    <col min="3841" max="3841" width="10.5546875" style="13" bestFit="1" customWidth="1"/>
    <col min="3842" max="3842" width="44.109375" style="13" customWidth="1"/>
    <col min="3843" max="3843" width="14.6640625" style="13" customWidth="1"/>
    <col min="3844" max="3844" width="23.6640625" style="13" bestFit="1" customWidth="1"/>
    <col min="3845" max="3845" width="11.88671875" style="13" customWidth="1"/>
    <col min="3846" max="3846" width="20.6640625" style="13" customWidth="1"/>
    <col min="3847" max="3847" width="15.6640625" style="13" customWidth="1"/>
    <col min="3848" max="3849" width="16.109375" style="13" bestFit="1" customWidth="1"/>
    <col min="3850" max="3850" width="13.6640625" style="13" customWidth="1"/>
    <col min="3851" max="3851" width="12.6640625" style="13" bestFit="1" customWidth="1"/>
    <col min="3852" max="3852" width="15.5546875" style="13" customWidth="1"/>
    <col min="3853" max="3853" width="16.109375" style="13" bestFit="1" customWidth="1"/>
    <col min="3854" max="3854" width="13.33203125" style="13" bestFit="1" customWidth="1"/>
    <col min="3855" max="3855" width="16.33203125" style="13" bestFit="1" customWidth="1"/>
    <col min="3856" max="3856" width="9.33203125" style="13" bestFit="1" customWidth="1"/>
    <col min="3857" max="3857" width="13" style="13" bestFit="1" customWidth="1"/>
    <col min="3858" max="3858" width="20.109375" style="13" bestFit="1" customWidth="1"/>
    <col min="3859" max="3859" width="50.33203125" style="13" bestFit="1" customWidth="1"/>
    <col min="3860" max="3860" width="16.109375" style="13" bestFit="1" customWidth="1"/>
    <col min="3861" max="3861" width="12.33203125" style="13" customWidth="1"/>
    <col min="3862" max="3862" width="18.88671875" style="13" bestFit="1" customWidth="1"/>
    <col min="3863" max="3863" width="16.6640625" style="13" customWidth="1"/>
    <col min="3864" max="3864" width="19" style="13" bestFit="1" customWidth="1"/>
    <col min="3865" max="3865" width="9.109375" style="13"/>
    <col min="3866" max="3866" width="18.88671875" style="13" bestFit="1" customWidth="1"/>
    <col min="3867" max="4096" width="9.109375" style="13"/>
    <col min="4097" max="4097" width="10.5546875" style="13" bestFit="1" customWidth="1"/>
    <col min="4098" max="4098" width="44.109375" style="13" customWidth="1"/>
    <col min="4099" max="4099" width="14.6640625" style="13" customWidth="1"/>
    <col min="4100" max="4100" width="23.6640625" style="13" bestFit="1" customWidth="1"/>
    <col min="4101" max="4101" width="11.88671875" style="13" customWidth="1"/>
    <col min="4102" max="4102" width="20.6640625" style="13" customWidth="1"/>
    <col min="4103" max="4103" width="15.6640625" style="13" customWidth="1"/>
    <col min="4104" max="4105" width="16.109375" style="13" bestFit="1" customWidth="1"/>
    <col min="4106" max="4106" width="13.6640625" style="13" customWidth="1"/>
    <col min="4107" max="4107" width="12.6640625" style="13" bestFit="1" customWidth="1"/>
    <col min="4108" max="4108" width="15.5546875" style="13" customWidth="1"/>
    <col min="4109" max="4109" width="16.109375" style="13" bestFit="1" customWidth="1"/>
    <col min="4110" max="4110" width="13.33203125" style="13" bestFit="1" customWidth="1"/>
    <col min="4111" max="4111" width="16.33203125" style="13" bestFit="1" customWidth="1"/>
    <col min="4112" max="4112" width="9.33203125" style="13" bestFit="1" customWidth="1"/>
    <col min="4113" max="4113" width="13" style="13" bestFit="1" customWidth="1"/>
    <col min="4114" max="4114" width="20.109375" style="13" bestFit="1" customWidth="1"/>
    <col min="4115" max="4115" width="50.33203125" style="13" bestFit="1" customWidth="1"/>
    <col min="4116" max="4116" width="16.109375" style="13" bestFit="1" customWidth="1"/>
    <col min="4117" max="4117" width="12.33203125" style="13" customWidth="1"/>
    <col min="4118" max="4118" width="18.88671875" style="13" bestFit="1" customWidth="1"/>
    <col min="4119" max="4119" width="16.6640625" style="13" customWidth="1"/>
    <col min="4120" max="4120" width="19" style="13" bestFit="1" customWidth="1"/>
    <col min="4121" max="4121" width="9.109375" style="13"/>
    <col min="4122" max="4122" width="18.88671875" style="13" bestFit="1" customWidth="1"/>
    <col min="4123" max="4352" width="9.109375" style="13"/>
    <col min="4353" max="4353" width="10.5546875" style="13" bestFit="1" customWidth="1"/>
    <col min="4354" max="4354" width="44.109375" style="13" customWidth="1"/>
    <col min="4355" max="4355" width="14.6640625" style="13" customWidth="1"/>
    <col min="4356" max="4356" width="23.6640625" style="13" bestFit="1" customWidth="1"/>
    <col min="4357" max="4357" width="11.88671875" style="13" customWidth="1"/>
    <col min="4358" max="4358" width="20.6640625" style="13" customWidth="1"/>
    <col min="4359" max="4359" width="15.6640625" style="13" customWidth="1"/>
    <col min="4360" max="4361" width="16.109375" style="13" bestFit="1" customWidth="1"/>
    <col min="4362" max="4362" width="13.6640625" style="13" customWidth="1"/>
    <col min="4363" max="4363" width="12.6640625" style="13" bestFit="1" customWidth="1"/>
    <col min="4364" max="4364" width="15.5546875" style="13" customWidth="1"/>
    <col min="4365" max="4365" width="16.109375" style="13" bestFit="1" customWidth="1"/>
    <col min="4366" max="4366" width="13.33203125" style="13" bestFit="1" customWidth="1"/>
    <col min="4367" max="4367" width="16.33203125" style="13" bestFit="1" customWidth="1"/>
    <col min="4368" max="4368" width="9.33203125" style="13" bestFit="1" customWidth="1"/>
    <col min="4369" max="4369" width="13" style="13" bestFit="1" customWidth="1"/>
    <col min="4370" max="4370" width="20.109375" style="13" bestFit="1" customWidth="1"/>
    <col min="4371" max="4371" width="50.33203125" style="13" bestFit="1" customWidth="1"/>
    <col min="4372" max="4372" width="16.109375" style="13" bestFit="1" customWidth="1"/>
    <col min="4373" max="4373" width="12.33203125" style="13" customWidth="1"/>
    <col min="4374" max="4374" width="18.88671875" style="13" bestFit="1" customWidth="1"/>
    <col min="4375" max="4375" width="16.6640625" style="13" customWidth="1"/>
    <col min="4376" max="4376" width="19" style="13" bestFit="1" customWidth="1"/>
    <col min="4377" max="4377" width="9.109375" style="13"/>
    <col min="4378" max="4378" width="18.88671875" style="13" bestFit="1" customWidth="1"/>
    <col min="4379" max="4608" width="9.109375" style="13"/>
    <col min="4609" max="4609" width="10.5546875" style="13" bestFit="1" customWidth="1"/>
    <col min="4610" max="4610" width="44.109375" style="13" customWidth="1"/>
    <col min="4611" max="4611" width="14.6640625" style="13" customWidth="1"/>
    <col min="4612" max="4612" width="23.6640625" style="13" bestFit="1" customWidth="1"/>
    <col min="4613" max="4613" width="11.88671875" style="13" customWidth="1"/>
    <col min="4614" max="4614" width="20.6640625" style="13" customWidth="1"/>
    <col min="4615" max="4615" width="15.6640625" style="13" customWidth="1"/>
    <col min="4616" max="4617" width="16.109375" style="13" bestFit="1" customWidth="1"/>
    <col min="4618" max="4618" width="13.6640625" style="13" customWidth="1"/>
    <col min="4619" max="4619" width="12.6640625" style="13" bestFit="1" customWidth="1"/>
    <col min="4620" max="4620" width="15.5546875" style="13" customWidth="1"/>
    <col min="4621" max="4621" width="16.109375" style="13" bestFit="1" customWidth="1"/>
    <col min="4622" max="4622" width="13.33203125" style="13" bestFit="1" customWidth="1"/>
    <col min="4623" max="4623" width="16.33203125" style="13" bestFit="1" customWidth="1"/>
    <col min="4624" max="4624" width="9.33203125" style="13" bestFit="1" customWidth="1"/>
    <col min="4625" max="4625" width="13" style="13" bestFit="1" customWidth="1"/>
    <col min="4626" max="4626" width="20.109375" style="13" bestFit="1" customWidth="1"/>
    <col min="4627" max="4627" width="50.33203125" style="13" bestFit="1" customWidth="1"/>
    <col min="4628" max="4628" width="16.109375" style="13" bestFit="1" customWidth="1"/>
    <col min="4629" max="4629" width="12.33203125" style="13" customWidth="1"/>
    <col min="4630" max="4630" width="18.88671875" style="13" bestFit="1" customWidth="1"/>
    <col min="4631" max="4631" width="16.6640625" style="13" customWidth="1"/>
    <col min="4632" max="4632" width="19" style="13" bestFit="1" customWidth="1"/>
    <col min="4633" max="4633" width="9.109375" style="13"/>
    <col min="4634" max="4634" width="18.88671875" style="13" bestFit="1" customWidth="1"/>
    <col min="4635" max="4864" width="9.109375" style="13"/>
    <col min="4865" max="4865" width="10.5546875" style="13" bestFit="1" customWidth="1"/>
    <col min="4866" max="4866" width="44.109375" style="13" customWidth="1"/>
    <col min="4867" max="4867" width="14.6640625" style="13" customWidth="1"/>
    <col min="4868" max="4868" width="23.6640625" style="13" bestFit="1" customWidth="1"/>
    <col min="4869" max="4869" width="11.88671875" style="13" customWidth="1"/>
    <col min="4870" max="4870" width="20.6640625" style="13" customWidth="1"/>
    <col min="4871" max="4871" width="15.6640625" style="13" customWidth="1"/>
    <col min="4872" max="4873" width="16.109375" style="13" bestFit="1" customWidth="1"/>
    <col min="4874" max="4874" width="13.6640625" style="13" customWidth="1"/>
    <col min="4875" max="4875" width="12.6640625" style="13" bestFit="1" customWidth="1"/>
    <col min="4876" max="4876" width="15.5546875" style="13" customWidth="1"/>
    <col min="4877" max="4877" width="16.109375" style="13" bestFit="1" customWidth="1"/>
    <col min="4878" max="4878" width="13.33203125" style="13" bestFit="1" customWidth="1"/>
    <col min="4879" max="4879" width="16.33203125" style="13" bestFit="1" customWidth="1"/>
    <col min="4880" max="4880" width="9.33203125" style="13" bestFit="1" customWidth="1"/>
    <col min="4881" max="4881" width="13" style="13" bestFit="1" customWidth="1"/>
    <col min="4882" max="4882" width="20.109375" style="13" bestFit="1" customWidth="1"/>
    <col min="4883" max="4883" width="50.33203125" style="13" bestFit="1" customWidth="1"/>
    <col min="4884" max="4884" width="16.109375" style="13" bestFit="1" customWidth="1"/>
    <col min="4885" max="4885" width="12.33203125" style="13" customWidth="1"/>
    <col min="4886" max="4886" width="18.88671875" style="13" bestFit="1" customWidth="1"/>
    <col min="4887" max="4887" width="16.6640625" style="13" customWidth="1"/>
    <col min="4888" max="4888" width="19" style="13" bestFit="1" customWidth="1"/>
    <col min="4889" max="4889" width="9.109375" style="13"/>
    <col min="4890" max="4890" width="18.88671875" style="13" bestFit="1" customWidth="1"/>
    <col min="4891" max="5120" width="9.109375" style="13"/>
    <col min="5121" max="5121" width="10.5546875" style="13" bestFit="1" customWidth="1"/>
    <col min="5122" max="5122" width="44.109375" style="13" customWidth="1"/>
    <col min="5123" max="5123" width="14.6640625" style="13" customWidth="1"/>
    <col min="5124" max="5124" width="23.6640625" style="13" bestFit="1" customWidth="1"/>
    <col min="5125" max="5125" width="11.88671875" style="13" customWidth="1"/>
    <col min="5126" max="5126" width="20.6640625" style="13" customWidth="1"/>
    <col min="5127" max="5127" width="15.6640625" style="13" customWidth="1"/>
    <col min="5128" max="5129" width="16.109375" style="13" bestFit="1" customWidth="1"/>
    <col min="5130" max="5130" width="13.6640625" style="13" customWidth="1"/>
    <col min="5131" max="5131" width="12.6640625" style="13" bestFit="1" customWidth="1"/>
    <col min="5132" max="5132" width="15.5546875" style="13" customWidth="1"/>
    <col min="5133" max="5133" width="16.109375" style="13" bestFit="1" customWidth="1"/>
    <col min="5134" max="5134" width="13.33203125" style="13" bestFit="1" customWidth="1"/>
    <col min="5135" max="5135" width="16.33203125" style="13" bestFit="1" customWidth="1"/>
    <col min="5136" max="5136" width="9.33203125" style="13" bestFit="1" customWidth="1"/>
    <col min="5137" max="5137" width="13" style="13" bestFit="1" customWidth="1"/>
    <col min="5138" max="5138" width="20.109375" style="13" bestFit="1" customWidth="1"/>
    <col min="5139" max="5139" width="50.33203125" style="13" bestFit="1" customWidth="1"/>
    <col min="5140" max="5140" width="16.109375" style="13" bestFit="1" customWidth="1"/>
    <col min="5141" max="5141" width="12.33203125" style="13" customWidth="1"/>
    <col min="5142" max="5142" width="18.88671875" style="13" bestFit="1" customWidth="1"/>
    <col min="5143" max="5143" width="16.6640625" style="13" customWidth="1"/>
    <col min="5144" max="5144" width="19" style="13" bestFit="1" customWidth="1"/>
    <col min="5145" max="5145" width="9.109375" style="13"/>
    <col min="5146" max="5146" width="18.88671875" style="13" bestFit="1" customWidth="1"/>
    <col min="5147" max="5376" width="9.109375" style="13"/>
    <col min="5377" max="5377" width="10.5546875" style="13" bestFit="1" customWidth="1"/>
    <col min="5378" max="5378" width="44.109375" style="13" customWidth="1"/>
    <col min="5379" max="5379" width="14.6640625" style="13" customWidth="1"/>
    <col min="5380" max="5380" width="23.6640625" style="13" bestFit="1" customWidth="1"/>
    <col min="5381" max="5381" width="11.88671875" style="13" customWidth="1"/>
    <col min="5382" max="5382" width="20.6640625" style="13" customWidth="1"/>
    <col min="5383" max="5383" width="15.6640625" style="13" customWidth="1"/>
    <col min="5384" max="5385" width="16.109375" style="13" bestFit="1" customWidth="1"/>
    <col min="5386" max="5386" width="13.6640625" style="13" customWidth="1"/>
    <col min="5387" max="5387" width="12.6640625" style="13" bestFit="1" customWidth="1"/>
    <col min="5388" max="5388" width="15.5546875" style="13" customWidth="1"/>
    <col min="5389" max="5389" width="16.109375" style="13" bestFit="1" customWidth="1"/>
    <col min="5390" max="5390" width="13.33203125" style="13" bestFit="1" customWidth="1"/>
    <col min="5391" max="5391" width="16.33203125" style="13" bestFit="1" customWidth="1"/>
    <col min="5392" max="5392" width="9.33203125" style="13" bestFit="1" customWidth="1"/>
    <col min="5393" max="5393" width="13" style="13" bestFit="1" customWidth="1"/>
    <col min="5394" max="5394" width="20.109375" style="13" bestFit="1" customWidth="1"/>
    <col min="5395" max="5395" width="50.33203125" style="13" bestFit="1" customWidth="1"/>
    <col min="5396" max="5396" width="16.109375" style="13" bestFit="1" customWidth="1"/>
    <col min="5397" max="5397" width="12.33203125" style="13" customWidth="1"/>
    <col min="5398" max="5398" width="18.88671875" style="13" bestFit="1" customWidth="1"/>
    <col min="5399" max="5399" width="16.6640625" style="13" customWidth="1"/>
    <col min="5400" max="5400" width="19" style="13" bestFit="1" customWidth="1"/>
    <col min="5401" max="5401" width="9.109375" style="13"/>
    <col min="5402" max="5402" width="18.88671875" style="13" bestFit="1" customWidth="1"/>
    <col min="5403" max="5632" width="9.109375" style="13"/>
    <col min="5633" max="5633" width="10.5546875" style="13" bestFit="1" customWidth="1"/>
    <col min="5634" max="5634" width="44.109375" style="13" customWidth="1"/>
    <col min="5635" max="5635" width="14.6640625" style="13" customWidth="1"/>
    <col min="5636" max="5636" width="23.6640625" style="13" bestFit="1" customWidth="1"/>
    <col min="5637" max="5637" width="11.88671875" style="13" customWidth="1"/>
    <col min="5638" max="5638" width="20.6640625" style="13" customWidth="1"/>
    <col min="5639" max="5639" width="15.6640625" style="13" customWidth="1"/>
    <col min="5640" max="5641" width="16.109375" style="13" bestFit="1" customWidth="1"/>
    <col min="5642" max="5642" width="13.6640625" style="13" customWidth="1"/>
    <col min="5643" max="5643" width="12.6640625" style="13" bestFit="1" customWidth="1"/>
    <col min="5644" max="5644" width="15.5546875" style="13" customWidth="1"/>
    <col min="5645" max="5645" width="16.109375" style="13" bestFit="1" customWidth="1"/>
    <col min="5646" max="5646" width="13.33203125" style="13" bestFit="1" customWidth="1"/>
    <col min="5647" max="5647" width="16.33203125" style="13" bestFit="1" customWidth="1"/>
    <col min="5648" max="5648" width="9.33203125" style="13" bestFit="1" customWidth="1"/>
    <col min="5649" max="5649" width="13" style="13" bestFit="1" customWidth="1"/>
    <col min="5650" max="5650" width="20.109375" style="13" bestFit="1" customWidth="1"/>
    <col min="5651" max="5651" width="50.33203125" style="13" bestFit="1" customWidth="1"/>
    <col min="5652" max="5652" width="16.109375" style="13" bestFit="1" customWidth="1"/>
    <col min="5653" max="5653" width="12.33203125" style="13" customWidth="1"/>
    <col min="5654" max="5654" width="18.88671875" style="13" bestFit="1" customWidth="1"/>
    <col min="5655" max="5655" width="16.6640625" style="13" customWidth="1"/>
    <col min="5656" max="5656" width="19" style="13" bestFit="1" customWidth="1"/>
    <col min="5657" max="5657" width="9.109375" style="13"/>
    <col min="5658" max="5658" width="18.88671875" style="13" bestFit="1" customWidth="1"/>
    <col min="5659" max="5888" width="9.109375" style="13"/>
    <col min="5889" max="5889" width="10.5546875" style="13" bestFit="1" customWidth="1"/>
    <col min="5890" max="5890" width="44.109375" style="13" customWidth="1"/>
    <col min="5891" max="5891" width="14.6640625" style="13" customWidth="1"/>
    <col min="5892" max="5892" width="23.6640625" style="13" bestFit="1" customWidth="1"/>
    <col min="5893" max="5893" width="11.88671875" style="13" customWidth="1"/>
    <col min="5894" max="5894" width="20.6640625" style="13" customWidth="1"/>
    <col min="5895" max="5895" width="15.6640625" style="13" customWidth="1"/>
    <col min="5896" max="5897" width="16.109375" style="13" bestFit="1" customWidth="1"/>
    <col min="5898" max="5898" width="13.6640625" style="13" customWidth="1"/>
    <col min="5899" max="5899" width="12.6640625" style="13" bestFit="1" customWidth="1"/>
    <col min="5900" max="5900" width="15.5546875" style="13" customWidth="1"/>
    <col min="5901" max="5901" width="16.109375" style="13" bestFit="1" customWidth="1"/>
    <col min="5902" max="5902" width="13.33203125" style="13" bestFit="1" customWidth="1"/>
    <col min="5903" max="5903" width="16.33203125" style="13" bestFit="1" customWidth="1"/>
    <col min="5904" max="5904" width="9.33203125" style="13" bestFit="1" customWidth="1"/>
    <col min="5905" max="5905" width="13" style="13" bestFit="1" customWidth="1"/>
    <col min="5906" max="5906" width="20.109375" style="13" bestFit="1" customWidth="1"/>
    <col min="5907" max="5907" width="50.33203125" style="13" bestFit="1" customWidth="1"/>
    <col min="5908" max="5908" width="16.109375" style="13" bestFit="1" customWidth="1"/>
    <col min="5909" max="5909" width="12.33203125" style="13" customWidth="1"/>
    <col min="5910" max="5910" width="18.88671875" style="13" bestFit="1" customWidth="1"/>
    <col min="5911" max="5911" width="16.6640625" style="13" customWidth="1"/>
    <col min="5912" max="5912" width="19" style="13" bestFit="1" customWidth="1"/>
    <col min="5913" max="5913" width="9.109375" style="13"/>
    <col min="5914" max="5914" width="18.88671875" style="13" bestFit="1" customWidth="1"/>
    <col min="5915" max="6144" width="9.109375" style="13"/>
    <col min="6145" max="6145" width="10.5546875" style="13" bestFit="1" customWidth="1"/>
    <col min="6146" max="6146" width="44.109375" style="13" customWidth="1"/>
    <col min="6147" max="6147" width="14.6640625" style="13" customWidth="1"/>
    <col min="6148" max="6148" width="23.6640625" style="13" bestFit="1" customWidth="1"/>
    <col min="6149" max="6149" width="11.88671875" style="13" customWidth="1"/>
    <col min="6150" max="6150" width="20.6640625" style="13" customWidth="1"/>
    <col min="6151" max="6151" width="15.6640625" style="13" customWidth="1"/>
    <col min="6152" max="6153" width="16.109375" style="13" bestFit="1" customWidth="1"/>
    <col min="6154" max="6154" width="13.6640625" style="13" customWidth="1"/>
    <col min="6155" max="6155" width="12.6640625" style="13" bestFit="1" customWidth="1"/>
    <col min="6156" max="6156" width="15.5546875" style="13" customWidth="1"/>
    <col min="6157" max="6157" width="16.109375" style="13" bestFit="1" customWidth="1"/>
    <col min="6158" max="6158" width="13.33203125" style="13" bestFit="1" customWidth="1"/>
    <col min="6159" max="6159" width="16.33203125" style="13" bestFit="1" customWidth="1"/>
    <col min="6160" max="6160" width="9.33203125" style="13" bestFit="1" customWidth="1"/>
    <col min="6161" max="6161" width="13" style="13" bestFit="1" customWidth="1"/>
    <col min="6162" max="6162" width="20.109375" style="13" bestFit="1" customWidth="1"/>
    <col min="6163" max="6163" width="50.33203125" style="13" bestFit="1" customWidth="1"/>
    <col min="6164" max="6164" width="16.109375" style="13" bestFit="1" customWidth="1"/>
    <col min="6165" max="6165" width="12.33203125" style="13" customWidth="1"/>
    <col min="6166" max="6166" width="18.88671875" style="13" bestFit="1" customWidth="1"/>
    <col min="6167" max="6167" width="16.6640625" style="13" customWidth="1"/>
    <col min="6168" max="6168" width="19" style="13" bestFit="1" customWidth="1"/>
    <col min="6169" max="6169" width="9.109375" style="13"/>
    <col min="6170" max="6170" width="18.88671875" style="13" bestFit="1" customWidth="1"/>
    <col min="6171" max="6400" width="9.109375" style="13"/>
    <col min="6401" max="6401" width="10.5546875" style="13" bestFit="1" customWidth="1"/>
    <col min="6402" max="6402" width="44.109375" style="13" customWidth="1"/>
    <col min="6403" max="6403" width="14.6640625" style="13" customWidth="1"/>
    <col min="6404" max="6404" width="23.6640625" style="13" bestFit="1" customWidth="1"/>
    <col min="6405" max="6405" width="11.88671875" style="13" customWidth="1"/>
    <col min="6406" max="6406" width="20.6640625" style="13" customWidth="1"/>
    <col min="6407" max="6407" width="15.6640625" style="13" customWidth="1"/>
    <col min="6408" max="6409" width="16.109375" style="13" bestFit="1" customWidth="1"/>
    <col min="6410" max="6410" width="13.6640625" style="13" customWidth="1"/>
    <col min="6411" max="6411" width="12.6640625" style="13" bestFit="1" customWidth="1"/>
    <col min="6412" max="6412" width="15.5546875" style="13" customWidth="1"/>
    <col min="6413" max="6413" width="16.109375" style="13" bestFit="1" customWidth="1"/>
    <col min="6414" max="6414" width="13.33203125" style="13" bestFit="1" customWidth="1"/>
    <col min="6415" max="6415" width="16.33203125" style="13" bestFit="1" customWidth="1"/>
    <col min="6416" max="6416" width="9.33203125" style="13" bestFit="1" customWidth="1"/>
    <col min="6417" max="6417" width="13" style="13" bestFit="1" customWidth="1"/>
    <col min="6418" max="6418" width="20.109375" style="13" bestFit="1" customWidth="1"/>
    <col min="6419" max="6419" width="50.33203125" style="13" bestFit="1" customWidth="1"/>
    <col min="6420" max="6420" width="16.109375" style="13" bestFit="1" customWidth="1"/>
    <col min="6421" max="6421" width="12.33203125" style="13" customWidth="1"/>
    <col min="6422" max="6422" width="18.88671875" style="13" bestFit="1" customWidth="1"/>
    <col min="6423" max="6423" width="16.6640625" style="13" customWidth="1"/>
    <col min="6424" max="6424" width="19" style="13" bestFit="1" customWidth="1"/>
    <col min="6425" max="6425" width="9.109375" style="13"/>
    <col min="6426" max="6426" width="18.88671875" style="13" bestFit="1" customWidth="1"/>
    <col min="6427" max="6656" width="9.109375" style="13"/>
    <col min="6657" max="6657" width="10.5546875" style="13" bestFit="1" customWidth="1"/>
    <col min="6658" max="6658" width="44.109375" style="13" customWidth="1"/>
    <col min="6659" max="6659" width="14.6640625" style="13" customWidth="1"/>
    <col min="6660" max="6660" width="23.6640625" style="13" bestFit="1" customWidth="1"/>
    <col min="6661" max="6661" width="11.88671875" style="13" customWidth="1"/>
    <col min="6662" max="6662" width="20.6640625" style="13" customWidth="1"/>
    <col min="6663" max="6663" width="15.6640625" style="13" customWidth="1"/>
    <col min="6664" max="6665" width="16.109375" style="13" bestFit="1" customWidth="1"/>
    <col min="6666" max="6666" width="13.6640625" style="13" customWidth="1"/>
    <col min="6667" max="6667" width="12.6640625" style="13" bestFit="1" customWidth="1"/>
    <col min="6668" max="6668" width="15.5546875" style="13" customWidth="1"/>
    <col min="6669" max="6669" width="16.109375" style="13" bestFit="1" customWidth="1"/>
    <col min="6670" max="6670" width="13.33203125" style="13" bestFit="1" customWidth="1"/>
    <col min="6671" max="6671" width="16.33203125" style="13" bestFit="1" customWidth="1"/>
    <col min="6672" max="6672" width="9.33203125" style="13" bestFit="1" customWidth="1"/>
    <col min="6673" max="6673" width="13" style="13" bestFit="1" customWidth="1"/>
    <col min="6674" max="6674" width="20.109375" style="13" bestFit="1" customWidth="1"/>
    <col min="6675" max="6675" width="50.33203125" style="13" bestFit="1" customWidth="1"/>
    <col min="6676" max="6676" width="16.109375" style="13" bestFit="1" customWidth="1"/>
    <col min="6677" max="6677" width="12.33203125" style="13" customWidth="1"/>
    <col min="6678" max="6678" width="18.88671875" style="13" bestFit="1" customWidth="1"/>
    <col min="6679" max="6679" width="16.6640625" style="13" customWidth="1"/>
    <col min="6680" max="6680" width="19" style="13" bestFit="1" customWidth="1"/>
    <col min="6681" max="6681" width="9.109375" style="13"/>
    <col min="6682" max="6682" width="18.88671875" style="13" bestFit="1" customWidth="1"/>
    <col min="6683" max="6912" width="9.109375" style="13"/>
    <col min="6913" max="6913" width="10.5546875" style="13" bestFit="1" customWidth="1"/>
    <col min="6914" max="6914" width="44.109375" style="13" customWidth="1"/>
    <col min="6915" max="6915" width="14.6640625" style="13" customWidth="1"/>
    <col min="6916" max="6916" width="23.6640625" style="13" bestFit="1" customWidth="1"/>
    <col min="6917" max="6917" width="11.88671875" style="13" customWidth="1"/>
    <col min="6918" max="6918" width="20.6640625" style="13" customWidth="1"/>
    <col min="6919" max="6919" width="15.6640625" style="13" customWidth="1"/>
    <col min="6920" max="6921" width="16.109375" style="13" bestFit="1" customWidth="1"/>
    <col min="6922" max="6922" width="13.6640625" style="13" customWidth="1"/>
    <col min="6923" max="6923" width="12.6640625" style="13" bestFit="1" customWidth="1"/>
    <col min="6924" max="6924" width="15.5546875" style="13" customWidth="1"/>
    <col min="6925" max="6925" width="16.109375" style="13" bestFit="1" customWidth="1"/>
    <col min="6926" max="6926" width="13.33203125" style="13" bestFit="1" customWidth="1"/>
    <col min="6927" max="6927" width="16.33203125" style="13" bestFit="1" customWidth="1"/>
    <col min="6928" max="6928" width="9.33203125" style="13" bestFit="1" customWidth="1"/>
    <col min="6929" max="6929" width="13" style="13" bestFit="1" customWidth="1"/>
    <col min="6930" max="6930" width="20.109375" style="13" bestFit="1" customWidth="1"/>
    <col min="6931" max="6931" width="50.33203125" style="13" bestFit="1" customWidth="1"/>
    <col min="6932" max="6932" width="16.109375" style="13" bestFit="1" customWidth="1"/>
    <col min="6933" max="6933" width="12.33203125" style="13" customWidth="1"/>
    <col min="6934" max="6934" width="18.88671875" style="13" bestFit="1" customWidth="1"/>
    <col min="6935" max="6935" width="16.6640625" style="13" customWidth="1"/>
    <col min="6936" max="6936" width="19" style="13" bestFit="1" customWidth="1"/>
    <col min="6937" max="6937" width="9.109375" style="13"/>
    <col min="6938" max="6938" width="18.88671875" style="13" bestFit="1" customWidth="1"/>
    <col min="6939" max="7168" width="9.109375" style="13"/>
    <col min="7169" max="7169" width="10.5546875" style="13" bestFit="1" customWidth="1"/>
    <col min="7170" max="7170" width="44.109375" style="13" customWidth="1"/>
    <col min="7171" max="7171" width="14.6640625" style="13" customWidth="1"/>
    <col min="7172" max="7172" width="23.6640625" style="13" bestFit="1" customWidth="1"/>
    <col min="7173" max="7173" width="11.88671875" style="13" customWidth="1"/>
    <col min="7174" max="7174" width="20.6640625" style="13" customWidth="1"/>
    <col min="7175" max="7175" width="15.6640625" style="13" customWidth="1"/>
    <col min="7176" max="7177" width="16.109375" style="13" bestFit="1" customWidth="1"/>
    <col min="7178" max="7178" width="13.6640625" style="13" customWidth="1"/>
    <col min="7179" max="7179" width="12.6640625" style="13" bestFit="1" customWidth="1"/>
    <col min="7180" max="7180" width="15.5546875" style="13" customWidth="1"/>
    <col min="7181" max="7181" width="16.109375" style="13" bestFit="1" customWidth="1"/>
    <col min="7182" max="7182" width="13.33203125" style="13" bestFit="1" customWidth="1"/>
    <col min="7183" max="7183" width="16.33203125" style="13" bestFit="1" customWidth="1"/>
    <col min="7184" max="7184" width="9.33203125" style="13" bestFit="1" customWidth="1"/>
    <col min="7185" max="7185" width="13" style="13" bestFit="1" customWidth="1"/>
    <col min="7186" max="7186" width="20.109375" style="13" bestFit="1" customWidth="1"/>
    <col min="7187" max="7187" width="50.33203125" style="13" bestFit="1" customWidth="1"/>
    <col min="7188" max="7188" width="16.109375" style="13" bestFit="1" customWidth="1"/>
    <col min="7189" max="7189" width="12.33203125" style="13" customWidth="1"/>
    <col min="7190" max="7190" width="18.88671875" style="13" bestFit="1" customWidth="1"/>
    <col min="7191" max="7191" width="16.6640625" style="13" customWidth="1"/>
    <col min="7192" max="7192" width="19" style="13" bestFit="1" customWidth="1"/>
    <col min="7193" max="7193" width="9.109375" style="13"/>
    <col min="7194" max="7194" width="18.88671875" style="13" bestFit="1" customWidth="1"/>
    <col min="7195" max="7424" width="9.109375" style="13"/>
    <col min="7425" max="7425" width="10.5546875" style="13" bestFit="1" customWidth="1"/>
    <col min="7426" max="7426" width="44.109375" style="13" customWidth="1"/>
    <col min="7427" max="7427" width="14.6640625" style="13" customWidth="1"/>
    <col min="7428" max="7428" width="23.6640625" style="13" bestFit="1" customWidth="1"/>
    <col min="7429" max="7429" width="11.88671875" style="13" customWidth="1"/>
    <col min="7430" max="7430" width="20.6640625" style="13" customWidth="1"/>
    <col min="7431" max="7431" width="15.6640625" style="13" customWidth="1"/>
    <col min="7432" max="7433" width="16.109375" style="13" bestFit="1" customWidth="1"/>
    <col min="7434" max="7434" width="13.6640625" style="13" customWidth="1"/>
    <col min="7435" max="7435" width="12.6640625" style="13" bestFit="1" customWidth="1"/>
    <col min="7436" max="7436" width="15.5546875" style="13" customWidth="1"/>
    <col min="7437" max="7437" width="16.109375" style="13" bestFit="1" customWidth="1"/>
    <col min="7438" max="7438" width="13.33203125" style="13" bestFit="1" customWidth="1"/>
    <col min="7439" max="7439" width="16.33203125" style="13" bestFit="1" customWidth="1"/>
    <col min="7440" max="7440" width="9.33203125" style="13" bestFit="1" customWidth="1"/>
    <col min="7441" max="7441" width="13" style="13" bestFit="1" customWidth="1"/>
    <col min="7442" max="7442" width="20.109375" style="13" bestFit="1" customWidth="1"/>
    <col min="7443" max="7443" width="50.33203125" style="13" bestFit="1" customWidth="1"/>
    <col min="7444" max="7444" width="16.109375" style="13" bestFit="1" customWidth="1"/>
    <col min="7445" max="7445" width="12.33203125" style="13" customWidth="1"/>
    <col min="7446" max="7446" width="18.88671875" style="13" bestFit="1" customWidth="1"/>
    <col min="7447" max="7447" width="16.6640625" style="13" customWidth="1"/>
    <col min="7448" max="7448" width="19" style="13" bestFit="1" customWidth="1"/>
    <col min="7449" max="7449" width="9.109375" style="13"/>
    <col min="7450" max="7450" width="18.88671875" style="13" bestFit="1" customWidth="1"/>
    <col min="7451" max="7680" width="9.109375" style="13"/>
    <col min="7681" max="7681" width="10.5546875" style="13" bestFit="1" customWidth="1"/>
    <col min="7682" max="7682" width="44.109375" style="13" customWidth="1"/>
    <col min="7683" max="7683" width="14.6640625" style="13" customWidth="1"/>
    <col min="7684" max="7684" width="23.6640625" style="13" bestFit="1" customWidth="1"/>
    <col min="7685" max="7685" width="11.88671875" style="13" customWidth="1"/>
    <col min="7686" max="7686" width="20.6640625" style="13" customWidth="1"/>
    <col min="7687" max="7687" width="15.6640625" style="13" customWidth="1"/>
    <col min="7688" max="7689" width="16.109375" style="13" bestFit="1" customWidth="1"/>
    <col min="7690" max="7690" width="13.6640625" style="13" customWidth="1"/>
    <col min="7691" max="7691" width="12.6640625" style="13" bestFit="1" customWidth="1"/>
    <col min="7692" max="7692" width="15.5546875" style="13" customWidth="1"/>
    <col min="7693" max="7693" width="16.109375" style="13" bestFit="1" customWidth="1"/>
    <col min="7694" max="7694" width="13.33203125" style="13" bestFit="1" customWidth="1"/>
    <col min="7695" max="7695" width="16.33203125" style="13" bestFit="1" customWidth="1"/>
    <col min="7696" max="7696" width="9.33203125" style="13" bestFit="1" customWidth="1"/>
    <col min="7697" max="7697" width="13" style="13" bestFit="1" customWidth="1"/>
    <col min="7698" max="7698" width="20.109375" style="13" bestFit="1" customWidth="1"/>
    <col min="7699" max="7699" width="50.33203125" style="13" bestFit="1" customWidth="1"/>
    <col min="7700" max="7700" width="16.109375" style="13" bestFit="1" customWidth="1"/>
    <col min="7701" max="7701" width="12.33203125" style="13" customWidth="1"/>
    <col min="7702" max="7702" width="18.88671875" style="13" bestFit="1" customWidth="1"/>
    <col min="7703" max="7703" width="16.6640625" style="13" customWidth="1"/>
    <col min="7704" max="7704" width="19" style="13" bestFit="1" customWidth="1"/>
    <col min="7705" max="7705" width="9.109375" style="13"/>
    <col min="7706" max="7706" width="18.88671875" style="13" bestFit="1" customWidth="1"/>
    <col min="7707" max="7936" width="9.109375" style="13"/>
    <col min="7937" max="7937" width="10.5546875" style="13" bestFit="1" customWidth="1"/>
    <col min="7938" max="7938" width="44.109375" style="13" customWidth="1"/>
    <col min="7939" max="7939" width="14.6640625" style="13" customWidth="1"/>
    <col min="7940" max="7940" width="23.6640625" style="13" bestFit="1" customWidth="1"/>
    <col min="7941" max="7941" width="11.88671875" style="13" customWidth="1"/>
    <col min="7942" max="7942" width="20.6640625" style="13" customWidth="1"/>
    <col min="7943" max="7943" width="15.6640625" style="13" customWidth="1"/>
    <col min="7944" max="7945" width="16.109375" style="13" bestFit="1" customWidth="1"/>
    <col min="7946" max="7946" width="13.6640625" style="13" customWidth="1"/>
    <col min="7947" max="7947" width="12.6640625" style="13" bestFit="1" customWidth="1"/>
    <col min="7948" max="7948" width="15.5546875" style="13" customWidth="1"/>
    <col min="7949" max="7949" width="16.109375" style="13" bestFit="1" customWidth="1"/>
    <col min="7950" max="7950" width="13.33203125" style="13" bestFit="1" customWidth="1"/>
    <col min="7951" max="7951" width="16.33203125" style="13" bestFit="1" customWidth="1"/>
    <col min="7952" max="7952" width="9.33203125" style="13" bestFit="1" customWidth="1"/>
    <col min="7953" max="7953" width="13" style="13" bestFit="1" customWidth="1"/>
    <col min="7954" max="7954" width="20.109375" style="13" bestFit="1" customWidth="1"/>
    <col min="7955" max="7955" width="50.33203125" style="13" bestFit="1" customWidth="1"/>
    <col min="7956" max="7956" width="16.109375" style="13" bestFit="1" customWidth="1"/>
    <col min="7957" max="7957" width="12.33203125" style="13" customWidth="1"/>
    <col min="7958" max="7958" width="18.88671875" style="13" bestFit="1" customWidth="1"/>
    <col min="7959" max="7959" width="16.6640625" style="13" customWidth="1"/>
    <col min="7960" max="7960" width="19" style="13" bestFit="1" customWidth="1"/>
    <col min="7961" max="7961" width="9.109375" style="13"/>
    <col min="7962" max="7962" width="18.88671875" style="13" bestFit="1" customWidth="1"/>
    <col min="7963" max="8192" width="9.109375" style="13"/>
    <col min="8193" max="8193" width="10.5546875" style="13" bestFit="1" customWidth="1"/>
    <col min="8194" max="8194" width="44.109375" style="13" customWidth="1"/>
    <col min="8195" max="8195" width="14.6640625" style="13" customWidth="1"/>
    <col min="8196" max="8196" width="23.6640625" style="13" bestFit="1" customWidth="1"/>
    <col min="8197" max="8197" width="11.88671875" style="13" customWidth="1"/>
    <col min="8198" max="8198" width="20.6640625" style="13" customWidth="1"/>
    <col min="8199" max="8199" width="15.6640625" style="13" customWidth="1"/>
    <col min="8200" max="8201" width="16.109375" style="13" bestFit="1" customWidth="1"/>
    <col min="8202" max="8202" width="13.6640625" style="13" customWidth="1"/>
    <col min="8203" max="8203" width="12.6640625" style="13" bestFit="1" customWidth="1"/>
    <col min="8204" max="8204" width="15.5546875" style="13" customWidth="1"/>
    <col min="8205" max="8205" width="16.109375" style="13" bestFit="1" customWidth="1"/>
    <col min="8206" max="8206" width="13.33203125" style="13" bestFit="1" customWidth="1"/>
    <col min="8207" max="8207" width="16.33203125" style="13" bestFit="1" customWidth="1"/>
    <col min="8208" max="8208" width="9.33203125" style="13" bestFit="1" customWidth="1"/>
    <col min="8209" max="8209" width="13" style="13" bestFit="1" customWidth="1"/>
    <col min="8210" max="8210" width="20.109375" style="13" bestFit="1" customWidth="1"/>
    <col min="8211" max="8211" width="50.33203125" style="13" bestFit="1" customWidth="1"/>
    <col min="8212" max="8212" width="16.109375" style="13" bestFit="1" customWidth="1"/>
    <col min="8213" max="8213" width="12.33203125" style="13" customWidth="1"/>
    <col min="8214" max="8214" width="18.88671875" style="13" bestFit="1" customWidth="1"/>
    <col min="8215" max="8215" width="16.6640625" style="13" customWidth="1"/>
    <col min="8216" max="8216" width="19" style="13" bestFit="1" customWidth="1"/>
    <col min="8217" max="8217" width="9.109375" style="13"/>
    <col min="8218" max="8218" width="18.88671875" style="13" bestFit="1" customWidth="1"/>
    <col min="8219" max="8448" width="9.109375" style="13"/>
    <col min="8449" max="8449" width="10.5546875" style="13" bestFit="1" customWidth="1"/>
    <col min="8450" max="8450" width="44.109375" style="13" customWidth="1"/>
    <col min="8451" max="8451" width="14.6640625" style="13" customWidth="1"/>
    <col min="8452" max="8452" width="23.6640625" style="13" bestFit="1" customWidth="1"/>
    <col min="8453" max="8453" width="11.88671875" style="13" customWidth="1"/>
    <col min="8454" max="8454" width="20.6640625" style="13" customWidth="1"/>
    <col min="8455" max="8455" width="15.6640625" style="13" customWidth="1"/>
    <col min="8456" max="8457" width="16.109375" style="13" bestFit="1" customWidth="1"/>
    <col min="8458" max="8458" width="13.6640625" style="13" customWidth="1"/>
    <col min="8459" max="8459" width="12.6640625" style="13" bestFit="1" customWidth="1"/>
    <col min="8460" max="8460" width="15.5546875" style="13" customWidth="1"/>
    <col min="8461" max="8461" width="16.109375" style="13" bestFit="1" customWidth="1"/>
    <col min="8462" max="8462" width="13.33203125" style="13" bestFit="1" customWidth="1"/>
    <col min="8463" max="8463" width="16.33203125" style="13" bestFit="1" customWidth="1"/>
    <col min="8464" max="8464" width="9.33203125" style="13" bestFit="1" customWidth="1"/>
    <col min="8465" max="8465" width="13" style="13" bestFit="1" customWidth="1"/>
    <col min="8466" max="8466" width="20.109375" style="13" bestFit="1" customWidth="1"/>
    <col min="8467" max="8467" width="50.33203125" style="13" bestFit="1" customWidth="1"/>
    <col min="8468" max="8468" width="16.109375" style="13" bestFit="1" customWidth="1"/>
    <col min="8469" max="8469" width="12.33203125" style="13" customWidth="1"/>
    <col min="8470" max="8470" width="18.88671875" style="13" bestFit="1" customWidth="1"/>
    <col min="8471" max="8471" width="16.6640625" style="13" customWidth="1"/>
    <col min="8472" max="8472" width="19" style="13" bestFit="1" customWidth="1"/>
    <col min="8473" max="8473" width="9.109375" style="13"/>
    <col min="8474" max="8474" width="18.88671875" style="13" bestFit="1" customWidth="1"/>
    <col min="8475" max="8704" width="9.109375" style="13"/>
    <col min="8705" max="8705" width="10.5546875" style="13" bestFit="1" customWidth="1"/>
    <col min="8706" max="8706" width="44.109375" style="13" customWidth="1"/>
    <col min="8707" max="8707" width="14.6640625" style="13" customWidth="1"/>
    <col min="8708" max="8708" width="23.6640625" style="13" bestFit="1" customWidth="1"/>
    <col min="8709" max="8709" width="11.88671875" style="13" customWidth="1"/>
    <col min="8710" max="8710" width="20.6640625" style="13" customWidth="1"/>
    <col min="8711" max="8711" width="15.6640625" style="13" customWidth="1"/>
    <col min="8712" max="8713" width="16.109375" style="13" bestFit="1" customWidth="1"/>
    <col min="8714" max="8714" width="13.6640625" style="13" customWidth="1"/>
    <col min="8715" max="8715" width="12.6640625" style="13" bestFit="1" customWidth="1"/>
    <col min="8716" max="8716" width="15.5546875" style="13" customWidth="1"/>
    <col min="8717" max="8717" width="16.109375" style="13" bestFit="1" customWidth="1"/>
    <col min="8718" max="8718" width="13.33203125" style="13" bestFit="1" customWidth="1"/>
    <col min="8719" max="8719" width="16.33203125" style="13" bestFit="1" customWidth="1"/>
    <col min="8720" max="8720" width="9.33203125" style="13" bestFit="1" customWidth="1"/>
    <col min="8721" max="8721" width="13" style="13" bestFit="1" customWidth="1"/>
    <col min="8722" max="8722" width="20.109375" style="13" bestFit="1" customWidth="1"/>
    <col min="8723" max="8723" width="50.33203125" style="13" bestFit="1" customWidth="1"/>
    <col min="8724" max="8724" width="16.109375" style="13" bestFit="1" customWidth="1"/>
    <col min="8725" max="8725" width="12.33203125" style="13" customWidth="1"/>
    <col min="8726" max="8726" width="18.88671875" style="13" bestFit="1" customWidth="1"/>
    <col min="8727" max="8727" width="16.6640625" style="13" customWidth="1"/>
    <col min="8728" max="8728" width="19" style="13" bestFit="1" customWidth="1"/>
    <col min="8729" max="8729" width="9.109375" style="13"/>
    <col min="8730" max="8730" width="18.88671875" style="13" bestFit="1" customWidth="1"/>
    <col min="8731" max="8960" width="9.109375" style="13"/>
    <col min="8961" max="8961" width="10.5546875" style="13" bestFit="1" customWidth="1"/>
    <col min="8962" max="8962" width="44.109375" style="13" customWidth="1"/>
    <col min="8963" max="8963" width="14.6640625" style="13" customWidth="1"/>
    <col min="8964" max="8964" width="23.6640625" style="13" bestFit="1" customWidth="1"/>
    <col min="8965" max="8965" width="11.88671875" style="13" customWidth="1"/>
    <col min="8966" max="8966" width="20.6640625" style="13" customWidth="1"/>
    <col min="8967" max="8967" width="15.6640625" style="13" customWidth="1"/>
    <col min="8968" max="8969" width="16.109375" style="13" bestFit="1" customWidth="1"/>
    <col min="8970" max="8970" width="13.6640625" style="13" customWidth="1"/>
    <col min="8971" max="8971" width="12.6640625" style="13" bestFit="1" customWidth="1"/>
    <col min="8972" max="8972" width="15.5546875" style="13" customWidth="1"/>
    <col min="8973" max="8973" width="16.109375" style="13" bestFit="1" customWidth="1"/>
    <col min="8974" max="8974" width="13.33203125" style="13" bestFit="1" customWidth="1"/>
    <col min="8975" max="8975" width="16.33203125" style="13" bestFit="1" customWidth="1"/>
    <col min="8976" max="8976" width="9.33203125" style="13" bestFit="1" customWidth="1"/>
    <col min="8977" max="8977" width="13" style="13" bestFit="1" customWidth="1"/>
    <col min="8978" max="8978" width="20.109375" style="13" bestFit="1" customWidth="1"/>
    <col min="8979" max="8979" width="50.33203125" style="13" bestFit="1" customWidth="1"/>
    <col min="8980" max="8980" width="16.109375" style="13" bestFit="1" customWidth="1"/>
    <col min="8981" max="8981" width="12.33203125" style="13" customWidth="1"/>
    <col min="8982" max="8982" width="18.88671875" style="13" bestFit="1" customWidth="1"/>
    <col min="8983" max="8983" width="16.6640625" style="13" customWidth="1"/>
    <col min="8984" max="8984" width="19" style="13" bestFit="1" customWidth="1"/>
    <col min="8985" max="8985" width="9.109375" style="13"/>
    <col min="8986" max="8986" width="18.88671875" style="13" bestFit="1" customWidth="1"/>
    <col min="8987" max="9216" width="9.109375" style="13"/>
    <col min="9217" max="9217" width="10.5546875" style="13" bestFit="1" customWidth="1"/>
    <col min="9218" max="9218" width="44.109375" style="13" customWidth="1"/>
    <col min="9219" max="9219" width="14.6640625" style="13" customWidth="1"/>
    <col min="9220" max="9220" width="23.6640625" style="13" bestFit="1" customWidth="1"/>
    <col min="9221" max="9221" width="11.88671875" style="13" customWidth="1"/>
    <col min="9222" max="9222" width="20.6640625" style="13" customWidth="1"/>
    <col min="9223" max="9223" width="15.6640625" style="13" customWidth="1"/>
    <col min="9224" max="9225" width="16.109375" style="13" bestFit="1" customWidth="1"/>
    <col min="9226" max="9226" width="13.6640625" style="13" customWidth="1"/>
    <col min="9227" max="9227" width="12.6640625" style="13" bestFit="1" customWidth="1"/>
    <col min="9228" max="9228" width="15.5546875" style="13" customWidth="1"/>
    <col min="9229" max="9229" width="16.109375" style="13" bestFit="1" customWidth="1"/>
    <col min="9230" max="9230" width="13.33203125" style="13" bestFit="1" customWidth="1"/>
    <col min="9231" max="9231" width="16.33203125" style="13" bestFit="1" customWidth="1"/>
    <col min="9232" max="9232" width="9.33203125" style="13" bestFit="1" customWidth="1"/>
    <col min="9233" max="9233" width="13" style="13" bestFit="1" customWidth="1"/>
    <col min="9234" max="9234" width="20.109375" style="13" bestFit="1" customWidth="1"/>
    <col min="9235" max="9235" width="50.33203125" style="13" bestFit="1" customWidth="1"/>
    <col min="9236" max="9236" width="16.109375" style="13" bestFit="1" customWidth="1"/>
    <col min="9237" max="9237" width="12.33203125" style="13" customWidth="1"/>
    <col min="9238" max="9238" width="18.88671875" style="13" bestFit="1" customWidth="1"/>
    <col min="9239" max="9239" width="16.6640625" style="13" customWidth="1"/>
    <col min="9240" max="9240" width="19" style="13" bestFit="1" customWidth="1"/>
    <col min="9241" max="9241" width="9.109375" style="13"/>
    <col min="9242" max="9242" width="18.88671875" style="13" bestFit="1" customWidth="1"/>
    <col min="9243" max="9472" width="9.109375" style="13"/>
    <col min="9473" max="9473" width="10.5546875" style="13" bestFit="1" customWidth="1"/>
    <col min="9474" max="9474" width="44.109375" style="13" customWidth="1"/>
    <col min="9475" max="9475" width="14.6640625" style="13" customWidth="1"/>
    <col min="9476" max="9476" width="23.6640625" style="13" bestFit="1" customWidth="1"/>
    <col min="9477" max="9477" width="11.88671875" style="13" customWidth="1"/>
    <col min="9478" max="9478" width="20.6640625" style="13" customWidth="1"/>
    <col min="9479" max="9479" width="15.6640625" style="13" customWidth="1"/>
    <col min="9480" max="9481" width="16.109375" style="13" bestFit="1" customWidth="1"/>
    <col min="9482" max="9482" width="13.6640625" style="13" customWidth="1"/>
    <col min="9483" max="9483" width="12.6640625" style="13" bestFit="1" customWidth="1"/>
    <col min="9484" max="9484" width="15.5546875" style="13" customWidth="1"/>
    <col min="9485" max="9485" width="16.109375" style="13" bestFit="1" customWidth="1"/>
    <col min="9486" max="9486" width="13.33203125" style="13" bestFit="1" customWidth="1"/>
    <col min="9487" max="9487" width="16.33203125" style="13" bestFit="1" customWidth="1"/>
    <col min="9488" max="9488" width="9.33203125" style="13" bestFit="1" customWidth="1"/>
    <col min="9489" max="9489" width="13" style="13" bestFit="1" customWidth="1"/>
    <col min="9490" max="9490" width="20.109375" style="13" bestFit="1" customWidth="1"/>
    <col min="9491" max="9491" width="50.33203125" style="13" bestFit="1" customWidth="1"/>
    <col min="9492" max="9492" width="16.109375" style="13" bestFit="1" customWidth="1"/>
    <col min="9493" max="9493" width="12.33203125" style="13" customWidth="1"/>
    <col min="9494" max="9494" width="18.88671875" style="13" bestFit="1" customWidth="1"/>
    <col min="9495" max="9495" width="16.6640625" style="13" customWidth="1"/>
    <col min="9496" max="9496" width="19" style="13" bestFit="1" customWidth="1"/>
    <col min="9497" max="9497" width="9.109375" style="13"/>
    <col min="9498" max="9498" width="18.88671875" style="13" bestFit="1" customWidth="1"/>
    <col min="9499" max="9728" width="9.109375" style="13"/>
    <col min="9729" max="9729" width="10.5546875" style="13" bestFit="1" customWidth="1"/>
    <col min="9730" max="9730" width="44.109375" style="13" customWidth="1"/>
    <col min="9731" max="9731" width="14.6640625" style="13" customWidth="1"/>
    <col min="9732" max="9732" width="23.6640625" style="13" bestFit="1" customWidth="1"/>
    <col min="9733" max="9733" width="11.88671875" style="13" customWidth="1"/>
    <col min="9734" max="9734" width="20.6640625" style="13" customWidth="1"/>
    <col min="9735" max="9735" width="15.6640625" style="13" customWidth="1"/>
    <col min="9736" max="9737" width="16.109375" style="13" bestFit="1" customWidth="1"/>
    <col min="9738" max="9738" width="13.6640625" style="13" customWidth="1"/>
    <col min="9739" max="9739" width="12.6640625" style="13" bestFit="1" customWidth="1"/>
    <col min="9740" max="9740" width="15.5546875" style="13" customWidth="1"/>
    <col min="9741" max="9741" width="16.109375" style="13" bestFit="1" customWidth="1"/>
    <col min="9742" max="9742" width="13.33203125" style="13" bestFit="1" customWidth="1"/>
    <col min="9743" max="9743" width="16.33203125" style="13" bestFit="1" customWidth="1"/>
    <col min="9744" max="9744" width="9.33203125" style="13" bestFit="1" customWidth="1"/>
    <col min="9745" max="9745" width="13" style="13" bestFit="1" customWidth="1"/>
    <col min="9746" max="9746" width="20.109375" style="13" bestFit="1" customWidth="1"/>
    <col min="9747" max="9747" width="50.33203125" style="13" bestFit="1" customWidth="1"/>
    <col min="9748" max="9748" width="16.109375" style="13" bestFit="1" customWidth="1"/>
    <col min="9749" max="9749" width="12.33203125" style="13" customWidth="1"/>
    <col min="9750" max="9750" width="18.88671875" style="13" bestFit="1" customWidth="1"/>
    <col min="9751" max="9751" width="16.6640625" style="13" customWidth="1"/>
    <col min="9752" max="9752" width="19" style="13" bestFit="1" customWidth="1"/>
    <col min="9753" max="9753" width="9.109375" style="13"/>
    <col min="9754" max="9754" width="18.88671875" style="13" bestFit="1" customWidth="1"/>
    <col min="9755" max="9984" width="9.109375" style="13"/>
    <col min="9985" max="9985" width="10.5546875" style="13" bestFit="1" customWidth="1"/>
    <col min="9986" max="9986" width="44.109375" style="13" customWidth="1"/>
    <col min="9987" max="9987" width="14.6640625" style="13" customWidth="1"/>
    <col min="9988" max="9988" width="23.6640625" style="13" bestFit="1" customWidth="1"/>
    <col min="9989" max="9989" width="11.88671875" style="13" customWidth="1"/>
    <col min="9990" max="9990" width="20.6640625" style="13" customWidth="1"/>
    <col min="9991" max="9991" width="15.6640625" style="13" customWidth="1"/>
    <col min="9992" max="9993" width="16.109375" style="13" bestFit="1" customWidth="1"/>
    <col min="9994" max="9994" width="13.6640625" style="13" customWidth="1"/>
    <col min="9995" max="9995" width="12.6640625" style="13" bestFit="1" customWidth="1"/>
    <col min="9996" max="9996" width="15.5546875" style="13" customWidth="1"/>
    <col min="9997" max="9997" width="16.109375" style="13" bestFit="1" customWidth="1"/>
    <col min="9998" max="9998" width="13.33203125" style="13" bestFit="1" customWidth="1"/>
    <col min="9999" max="9999" width="16.33203125" style="13" bestFit="1" customWidth="1"/>
    <col min="10000" max="10000" width="9.33203125" style="13" bestFit="1" customWidth="1"/>
    <col min="10001" max="10001" width="13" style="13" bestFit="1" customWidth="1"/>
    <col min="10002" max="10002" width="20.109375" style="13" bestFit="1" customWidth="1"/>
    <col min="10003" max="10003" width="50.33203125" style="13" bestFit="1" customWidth="1"/>
    <col min="10004" max="10004" width="16.109375" style="13" bestFit="1" customWidth="1"/>
    <col min="10005" max="10005" width="12.33203125" style="13" customWidth="1"/>
    <col min="10006" max="10006" width="18.88671875" style="13" bestFit="1" customWidth="1"/>
    <col min="10007" max="10007" width="16.6640625" style="13" customWidth="1"/>
    <col min="10008" max="10008" width="19" style="13" bestFit="1" customWidth="1"/>
    <col min="10009" max="10009" width="9.109375" style="13"/>
    <col min="10010" max="10010" width="18.88671875" style="13" bestFit="1" customWidth="1"/>
    <col min="10011" max="10240" width="9.109375" style="13"/>
    <col min="10241" max="10241" width="10.5546875" style="13" bestFit="1" customWidth="1"/>
    <col min="10242" max="10242" width="44.109375" style="13" customWidth="1"/>
    <col min="10243" max="10243" width="14.6640625" style="13" customWidth="1"/>
    <col min="10244" max="10244" width="23.6640625" style="13" bestFit="1" customWidth="1"/>
    <col min="10245" max="10245" width="11.88671875" style="13" customWidth="1"/>
    <col min="10246" max="10246" width="20.6640625" style="13" customWidth="1"/>
    <col min="10247" max="10247" width="15.6640625" style="13" customWidth="1"/>
    <col min="10248" max="10249" width="16.109375" style="13" bestFit="1" customWidth="1"/>
    <col min="10250" max="10250" width="13.6640625" style="13" customWidth="1"/>
    <col min="10251" max="10251" width="12.6640625" style="13" bestFit="1" customWidth="1"/>
    <col min="10252" max="10252" width="15.5546875" style="13" customWidth="1"/>
    <col min="10253" max="10253" width="16.109375" style="13" bestFit="1" customWidth="1"/>
    <col min="10254" max="10254" width="13.33203125" style="13" bestFit="1" customWidth="1"/>
    <col min="10255" max="10255" width="16.33203125" style="13" bestFit="1" customWidth="1"/>
    <col min="10256" max="10256" width="9.33203125" style="13" bestFit="1" customWidth="1"/>
    <col min="10257" max="10257" width="13" style="13" bestFit="1" customWidth="1"/>
    <col min="10258" max="10258" width="20.109375" style="13" bestFit="1" customWidth="1"/>
    <col min="10259" max="10259" width="50.33203125" style="13" bestFit="1" customWidth="1"/>
    <col min="10260" max="10260" width="16.109375" style="13" bestFit="1" customWidth="1"/>
    <col min="10261" max="10261" width="12.33203125" style="13" customWidth="1"/>
    <col min="10262" max="10262" width="18.88671875" style="13" bestFit="1" customWidth="1"/>
    <col min="10263" max="10263" width="16.6640625" style="13" customWidth="1"/>
    <col min="10264" max="10264" width="19" style="13" bestFit="1" customWidth="1"/>
    <col min="10265" max="10265" width="9.109375" style="13"/>
    <col min="10266" max="10266" width="18.88671875" style="13" bestFit="1" customWidth="1"/>
    <col min="10267" max="10496" width="9.109375" style="13"/>
    <col min="10497" max="10497" width="10.5546875" style="13" bestFit="1" customWidth="1"/>
    <col min="10498" max="10498" width="44.109375" style="13" customWidth="1"/>
    <col min="10499" max="10499" width="14.6640625" style="13" customWidth="1"/>
    <col min="10500" max="10500" width="23.6640625" style="13" bestFit="1" customWidth="1"/>
    <col min="10501" max="10501" width="11.88671875" style="13" customWidth="1"/>
    <col min="10502" max="10502" width="20.6640625" style="13" customWidth="1"/>
    <col min="10503" max="10503" width="15.6640625" style="13" customWidth="1"/>
    <col min="10504" max="10505" width="16.109375" style="13" bestFit="1" customWidth="1"/>
    <col min="10506" max="10506" width="13.6640625" style="13" customWidth="1"/>
    <col min="10507" max="10507" width="12.6640625" style="13" bestFit="1" customWidth="1"/>
    <col min="10508" max="10508" width="15.5546875" style="13" customWidth="1"/>
    <col min="10509" max="10509" width="16.109375" style="13" bestFit="1" customWidth="1"/>
    <col min="10510" max="10510" width="13.33203125" style="13" bestFit="1" customWidth="1"/>
    <col min="10511" max="10511" width="16.33203125" style="13" bestFit="1" customWidth="1"/>
    <col min="10512" max="10512" width="9.33203125" style="13" bestFit="1" customWidth="1"/>
    <col min="10513" max="10513" width="13" style="13" bestFit="1" customWidth="1"/>
    <col min="10514" max="10514" width="20.109375" style="13" bestFit="1" customWidth="1"/>
    <col min="10515" max="10515" width="50.33203125" style="13" bestFit="1" customWidth="1"/>
    <col min="10516" max="10516" width="16.109375" style="13" bestFit="1" customWidth="1"/>
    <col min="10517" max="10517" width="12.33203125" style="13" customWidth="1"/>
    <col min="10518" max="10518" width="18.88671875" style="13" bestFit="1" customWidth="1"/>
    <col min="10519" max="10519" width="16.6640625" style="13" customWidth="1"/>
    <col min="10520" max="10520" width="19" style="13" bestFit="1" customWidth="1"/>
    <col min="10521" max="10521" width="9.109375" style="13"/>
    <col min="10522" max="10522" width="18.88671875" style="13" bestFit="1" customWidth="1"/>
    <col min="10523" max="10752" width="9.109375" style="13"/>
    <col min="10753" max="10753" width="10.5546875" style="13" bestFit="1" customWidth="1"/>
    <col min="10754" max="10754" width="44.109375" style="13" customWidth="1"/>
    <col min="10755" max="10755" width="14.6640625" style="13" customWidth="1"/>
    <col min="10756" max="10756" width="23.6640625" style="13" bestFit="1" customWidth="1"/>
    <col min="10757" max="10757" width="11.88671875" style="13" customWidth="1"/>
    <col min="10758" max="10758" width="20.6640625" style="13" customWidth="1"/>
    <col min="10759" max="10759" width="15.6640625" style="13" customWidth="1"/>
    <col min="10760" max="10761" width="16.109375" style="13" bestFit="1" customWidth="1"/>
    <col min="10762" max="10762" width="13.6640625" style="13" customWidth="1"/>
    <col min="10763" max="10763" width="12.6640625" style="13" bestFit="1" customWidth="1"/>
    <col min="10764" max="10764" width="15.5546875" style="13" customWidth="1"/>
    <col min="10765" max="10765" width="16.109375" style="13" bestFit="1" customWidth="1"/>
    <col min="10766" max="10766" width="13.33203125" style="13" bestFit="1" customWidth="1"/>
    <col min="10767" max="10767" width="16.33203125" style="13" bestFit="1" customWidth="1"/>
    <col min="10768" max="10768" width="9.33203125" style="13" bestFit="1" customWidth="1"/>
    <col min="10769" max="10769" width="13" style="13" bestFit="1" customWidth="1"/>
    <col min="10770" max="10770" width="20.109375" style="13" bestFit="1" customWidth="1"/>
    <col min="10771" max="10771" width="50.33203125" style="13" bestFit="1" customWidth="1"/>
    <col min="10772" max="10772" width="16.109375" style="13" bestFit="1" customWidth="1"/>
    <col min="10773" max="10773" width="12.33203125" style="13" customWidth="1"/>
    <col min="10774" max="10774" width="18.88671875" style="13" bestFit="1" customWidth="1"/>
    <col min="10775" max="10775" width="16.6640625" style="13" customWidth="1"/>
    <col min="10776" max="10776" width="19" style="13" bestFit="1" customWidth="1"/>
    <col min="10777" max="10777" width="9.109375" style="13"/>
    <col min="10778" max="10778" width="18.88671875" style="13" bestFit="1" customWidth="1"/>
    <col min="10779" max="11008" width="9.109375" style="13"/>
    <col min="11009" max="11009" width="10.5546875" style="13" bestFit="1" customWidth="1"/>
    <col min="11010" max="11010" width="44.109375" style="13" customWidth="1"/>
    <col min="11011" max="11011" width="14.6640625" style="13" customWidth="1"/>
    <col min="11012" max="11012" width="23.6640625" style="13" bestFit="1" customWidth="1"/>
    <col min="11013" max="11013" width="11.88671875" style="13" customWidth="1"/>
    <col min="11014" max="11014" width="20.6640625" style="13" customWidth="1"/>
    <col min="11015" max="11015" width="15.6640625" style="13" customWidth="1"/>
    <col min="11016" max="11017" width="16.109375" style="13" bestFit="1" customWidth="1"/>
    <col min="11018" max="11018" width="13.6640625" style="13" customWidth="1"/>
    <col min="11019" max="11019" width="12.6640625" style="13" bestFit="1" customWidth="1"/>
    <col min="11020" max="11020" width="15.5546875" style="13" customWidth="1"/>
    <col min="11021" max="11021" width="16.109375" style="13" bestFit="1" customWidth="1"/>
    <col min="11022" max="11022" width="13.33203125" style="13" bestFit="1" customWidth="1"/>
    <col min="11023" max="11023" width="16.33203125" style="13" bestFit="1" customWidth="1"/>
    <col min="11024" max="11024" width="9.33203125" style="13" bestFit="1" customWidth="1"/>
    <col min="11025" max="11025" width="13" style="13" bestFit="1" customWidth="1"/>
    <col min="11026" max="11026" width="20.109375" style="13" bestFit="1" customWidth="1"/>
    <col min="11027" max="11027" width="50.33203125" style="13" bestFit="1" customWidth="1"/>
    <col min="11028" max="11028" width="16.109375" style="13" bestFit="1" customWidth="1"/>
    <col min="11029" max="11029" width="12.33203125" style="13" customWidth="1"/>
    <col min="11030" max="11030" width="18.88671875" style="13" bestFit="1" customWidth="1"/>
    <col min="11031" max="11031" width="16.6640625" style="13" customWidth="1"/>
    <col min="11032" max="11032" width="19" style="13" bestFit="1" customWidth="1"/>
    <col min="11033" max="11033" width="9.109375" style="13"/>
    <col min="11034" max="11034" width="18.88671875" style="13" bestFit="1" customWidth="1"/>
    <col min="11035" max="11264" width="9.109375" style="13"/>
    <col min="11265" max="11265" width="10.5546875" style="13" bestFit="1" customWidth="1"/>
    <col min="11266" max="11266" width="44.109375" style="13" customWidth="1"/>
    <col min="11267" max="11267" width="14.6640625" style="13" customWidth="1"/>
    <col min="11268" max="11268" width="23.6640625" style="13" bestFit="1" customWidth="1"/>
    <col min="11269" max="11269" width="11.88671875" style="13" customWidth="1"/>
    <col min="11270" max="11270" width="20.6640625" style="13" customWidth="1"/>
    <col min="11271" max="11271" width="15.6640625" style="13" customWidth="1"/>
    <col min="11272" max="11273" width="16.109375" style="13" bestFit="1" customWidth="1"/>
    <col min="11274" max="11274" width="13.6640625" style="13" customWidth="1"/>
    <col min="11275" max="11275" width="12.6640625" style="13" bestFit="1" customWidth="1"/>
    <col min="11276" max="11276" width="15.5546875" style="13" customWidth="1"/>
    <col min="11277" max="11277" width="16.109375" style="13" bestFit="1" customWidth="1"/>
    <col min="11278" max="11278" width="13.33203125" style="13" bestFit="1" customWidth="1"/>
    <col min="11279" max="11279" width="16.33203125" style="13" bestFit="1" customWidth="1"/>
    <col min="11280" max="11280" width="9.33203125" style="13" bestFit="1" customWidth="1"/>
    <col min="11281" max="11281" width="13" style="13" bestFit="1" customWidth="1"/>
    <col min="11282" max="11282" width="20.109375" style="13" bestFit="1" customWidth="1"/>
    <col min="11283" max="11283" width="50.33203125" style="13" bestFit="1" customWidth="1"/>
    <col min="11284" max="11284" width="16.109375" style="13" bestFit="1" customWidth="1"/>
    <col min="11285" max="11285" width="12.33203125" style="13" customWidth="1"/>
    <col min="11286" max="11286" width="18.88671875" style="13" bestFit="1" customWidth="1"/>
    <col min="11287" max="11287" width="16.6640625" style="13" customWidth="1"/>
    <col min="11288" max="11288" width="19" style="13" bestFit="1" customWidth="1"/>
    <col min="11289" max="11289" width="9.109375" style="13"/>
    <col min="11290" max="11290" width="18.88671875" style="13" bestFit="1" customWidth="1"/>
    <col min="11291" max="11520" width="9.109375" style="13"/>
    <col min="11521" max="11521" width="10.5546875" style="13" bestFit="1" customWidth="1"/>
    <col min="11522" max="11522" width="44.109375" style="13" customWidth="1"/>
    <col min="11523" max="11523" width="14.6640625" style="13" customWidth="1"/>
    <col min="11524" max="11524" width="23.6640625" style="13" bestFit="1" customWidth="1"/>
    <col min="11525" max="11525" width="11.88671875" style="13" customWidth="1"/>
    <col min="11526" max="11526" width="20.6640625" style="13" customWidth="1"/>
    <col min="11527" max="11527" width="15.6640625" style="13" customWidth="1"/>
    <col min="11528" max="11529" width="16.109375" style="13" bestFit="1" customWidth="1"/>
    <col min="11530" max="11530" width="13.6640625" style="13" customWidth="1"/>
    <col min="11531" max="11531" width="12.6640625" style="13" bestFit="1" customWidth="1"/>
    <col min="11532" max="11532" width="15.5546875" style="13" customWidth="1"/>
    <col min="11533" max="11533" width="16.109375" style="13" bestFit="1" customWidth="1"/>
    <col min="11534" max="11534" width="13.33203125" style="13" bestFit="1" customWidth="1"/>
    <col min="11535" max="11535" width="16.33203125" style="13" bestFit="1" customWidth="1"/>
    <col min="11536" max="11536" width="9.33203125" style="13" bestFit="1" customWidth="1"/>
    <col min="11537" max="11537" width="13" style="13" bestFit="1" customWidth="1"/>
    <col min="11538" max="11538" width="20.109375" style="13" bestFit="1" customWidth="1"/>
    <col min="11539" max="11539" width="50.33203125" style="13" bestFit="1" customWidth="1"/>
    <col min="11540" max="11540" width="16.109375" style="13" bestFit="1" customWidth="1"/>
    <col min="11541" max="11541" width="12.33203125" style="13" customWidth="1"/>
    <col min="11542" max="11542" width="18.88671875" style="13" bestFit="1" customWidth="1"/>
    <col min="11543" max="11543" width="16.6640625" style="13" customWidth="1"/>
    <col min="11544" max="11544" width="19" style="13" bestFit="1" customWidth="1"/>
    <col min="11545" max="11545" width="9.109375" style="13"/>
    <col min="11546" max="11546" width="18.88671875" style="13" bestFit="1" customWidth="1"/>
    <col min="11547" max="11776" width="9.109375" style="13"/>
    <col min="11777" max="11777" width="10.5546875" style="13" bestFit="1" customWidth="1"/>
    <col min="11778" max="11778" width="44.109375" style="13" customWidth="1"/>
    <col min="11779" max="11779" width="14.6640625" style="13" customWidth="1"/>
    <col min="11780" max="11780" width="23.6640625" style="13" bestFit="1" customWidth="1"/>
    <col min="11781" max="11781" width="11.88671875" style="13" customWidth="1"/>
    <col min="11782" max="11782" width="20.6640625" style="13" customWidth="1"/>
    <col min="11783" max="11783" width="15.6640625" style="13" customWidth="1"/>
    <col min="11784" max="11785" width="16.109375" style="13" bestFit="1" customWidth="1"/>
    <col min="11786" max="11786" width="13.6640625" style="13" customWidth="1"/>
    <col min="11787" max="11787" width="12.6640625" style="13" bestFit="1" customWidth="1"/>
    <col min="11788" max="11788" width="15.5546875" style="13" customWidth="1"/>
    <col min="11789" max="11789" width="16.109375" style="13" bestFit="1" customWidth="1"/>
    <col min="11790" max="11790" width="13.33203125" style="13" bestFit="1" customWidth="1"/>
    <col min="11791" max="11791" width="16.33203125" style="13" bestFit="1" customWidth="1"/>
    <col min="11792" max="11792" width="9.33203125" style="13" bestFit="1" customWidth="1"/>
    <col min="11793" max="11793" width="13" style="13" bestFit="1" customWidth="1"/>
    <col min="11794" max="11794" width="20.109375" style="13" bestFit="1" customWidth="1"/>
    <col min="11795" max="11795" width="50.33203125" style="13" bestFit="1" customWidth="1"/>
    <col min="11796" max="11796" width="16.109375" style="13" bestFit="1" customWidth="1"/>
    <col min="11797" max="11797" width="12.33203125" style="13" customWidth="1"/>
    <col min="11798" max="11798" width="18.88671875" style="13" bestFit="1" customWidth="1"/>
    <col min="11799" max="11799" width="16.6640625" style="13" customWidth="1"/>
    <col min="11800" max="11800" width="19" style="13" bestFit="1" customWidth="1"/>
    <col min="11801" max="11801" width="9.109375" style="13"/>
    <col min="11802" max="11802" width="18.88671875" style="13" bestFit="1" customWidth="1"/>
    <col min="11803" max="12032" width="9.109375" style="13"/>
    <col min="12033" max="12033" width="10.5546875" style="13" bestFit="1" customWidth="1"/>
    <col min="12034" max="12034" width="44.109375" style="13" customWidth="1"/>
    <col min="12035" max="12035" width="14.6640625" style="13" customWidth="1"/>
    <col min="12036" max="12036" width="23.6640625" style="13" bestFit="1" customWidth="1"/>
    <col min="12037" max="12037" width="11.88671875" style="13" customWidth="1"/>
    <col min="12038" max="12038" width="20.6640625" style="13" customWidth="1"/>
    <col min="12039" max="12039" width="15.6640625" style="13" customWidth="1"/>
    <col min="12040" max="12041" width="16.109375" style="13" bestFit="1" customWidth="1"/>
    <col min="12042" max="12042" width="13.6640625" style="13" customWidth="1"/>
    <col min="12043" max="12043" width="12.6640625" style="13" bestFit="1" customWidth="1"/>
    <col min="12044" max="12044" width="15.5546875" style="13" customWidth="1"/>
    <col min="12045" max="12045" width="16.109375" style="13" bestFit="1" customWidth="1"/>
    <col min="12046" max="12046" width="13.33203125" style="13" bestFit="1" customWidth="1"/>
    <col min="12047" max="12047" width="16.33203125" style="13" bestFit="1" customWidth="1"/>
    <col min="12048" max="12048" width="9.33203125" style="13" bestFit="1" customWidth="1"/>
    <col min="12049" max="12049" width="13" style="13" bestFit="1" customWidth="1"/>
    <col min="12050" max="12050" width="20.109375" style="13" bestFit="1" customWidth="1"/>
    <col min="12051" max="12051" width="50.33203125" style="13" bestFit="1" customWidth="1"/>
    <col min="12052" max="12052" width="16.109375" style="13" bestFit="1" customWidth="1"/>
    <col min="12053" max="12053" width="12.33203125" style="13" customWidth="1"/>
    <col min="12054" max="12054" width="18.88671875" style="13" bestFit="1" customWidth="1"/>
    <col min="12055" max="12055" width="16.6640625" style="13" customWidth="1"/>
    <col min="12056" max="12056" width="19" style="13" bestFit="1" customWidth="1"/>
    <col min="12057" max="12057" width="9.109375" style="13"/>
    <col min="12058" max="12058" width="18.88671875" style="13" bestFit="1" customWidth="1"/>
    <col min="12059" max="12288" width="9.109375" style="13"/>
    <col min="12289" max="12289" width="10.5546875" style="13" bestFit="1" customWidth="1"/>
    <col min="12290" max="12290" width="44.109375" style="13" customWidth="1"/>
    <col min="12291" max="12291" width="14.6640625" style="13" customWidth="1"/>
    <col min="12292" max="12292" width="23.6640625" style="13" bestFit="1" customWidth="1"/>
    <col min="12293" max="12293" width="11.88671875" style="13" customWidth="1"/>
    <col min="12294" max="12294" width="20.6640625" style="13" customWidth="1"/>
    <col min="12295" max="12295" width="15.6640625" style="13" customWidth="1"/>
    <col min="12296" max="12297" width="16.109375" style="13" bestFit="1" customWidth="1"/>
    <col min="12298" max="12298" width="13.6640625" style="13" customWidth="1"/>
    <col min="12299" max="12299" width="12.6640625" style="13" bestFit="1" customWidth="1"/>
    <col min="12300" max="12300" width="15.5546875" style="13" customWidth="1"/>
    <col min="12301" max="12301" width="16.109375" style="13" bestFit="1" customWidth="1"/>
    <col min="12302" max="12302" width="13.33203125" style="13" bestFit="1" customWidth="1"/>
    <col min="12303" max="12303" width="16.33203125" style="13" bestFit="1" customWidth="1"/>
    <col min="12304" max="12304" width="9.33203125" style="13" bestFit="1" customWidth="1"/>
    <col min="12305" max="12305" width="13" style="13" bestFit="1" customWidth="1"/>
    <col min="12306" max="12306" width="20.109375" style="13" bestFit="1" customWidth="1"/>
    <col min="12307" max="12307" width="50.33203125" style="13" bestFit="1" customWidth="1"/>
    <col min="12308" max="12308" width="16.109375" style="13" bestFit="1" customWidth="1"/>
    <col min="12309" max="12309" width="12.33203125" style="13" customWidth="1"/>
    <col min="12310" max="12310" width="18.88671875" style="13" bestFit="1" customWidth="1"/>
    <col min="12311" max="12311" width="16.6640625" style="13" customWidth="1"/>
    <col min="12312" max="12312" width="19" style="13" bestFit="1" customWidth="1"/>
    <col min="12313" max="12313" width="9.109375" style="13"/>
    <col min="12314" max="12314" width="18.88671875" style="13" bestFit="1" customWidth="1"/>
    <col min="12315" max="12544" width="9.109375" style="13"/>
    <col min="12545" max="12545" width="10.5546875" style="13" bestFit="1" customWidth="1"/>
    <col min="12546" max="12546" width="44.109375" style="13" customWidth="1"/>
    <col min="12547" max="12547" width="14.6640625" style="13" customWidth="1"/>
    <col min="12548" max="12548" width="23.6640625" style="13" bestFit="1" customWidth="1"/>
    <col min="12549" max="12549" width="11.88671875" style="13" customWidth="1"/>
    <col min="12550" max="12550" width="20.6640625" style="13" customWidth="1"/>
    <col min="12551" max="12551" width="15.6640625" style="13" customWidth="1"/>
    <col min="12552" max="12553" width="16.109375" style="13" bestFit="1" customWidth="1"/>
    <col min="12554" max="12554" width="13.6640625" style="13" customWidth="1"/>
    <col min="12555" max="12555" width="12.6640625" style="13" bestFit="1" customWidth="1"/>
    <col min="12556" max="12556" width="15.5546875" style="13" customWidth="1"/>
    <col min="12557" max="12557" width="16.109375" style="13" bestFit="1" customWidth="1"/>
    <col min="12558" max="12558" width="13.33203125" style="13" bestFit="1" customWidth="1"/>
    <col min="12559" max="12559" width="16.33203125" style="13" bestFit="1" customWidth="1"/>
    <col min="12560" max="12560" width="9.33203125" style="13" bestFit="1" customWidth="1"/>
    <col min="12561" max="12561" width="13" style="13" bestFit="1" customWidth="1"/>
    <col min="12562" max="12562" width="20.109375" style="13" bestFit="1" customWidth="1"/>
    <col min="12563" max="12563" width="50.33203125" style="13" bestFit="1" customWidth="1"/>
    <col min="12564" max="12564" width="16.109375" style="13" bestFit="1" customWidth="1"/>
    <col min="12565" max="12565" width="12.33203125" style="13" customWidth="1"/>
    <col min="12566" max="12566" width="18.88671875" style="13" bestFit="1" customWidth="1"/>
    <col min="12567" max="12567" width="16.6640625" style="13" customWidth="1"/>
    <col min="12568" max="12568" width="19" style="13" bestFit="1" customWidth="1"/>
    <col min="12569" max="12569" width="9.109375" style="13"/>
    <col min="12570" max="12570" width="18.88671875" style="13" bestFit="1" customWidth="1"/>
    <col min="12571" max="12800" width="9.109375" style="13"/>
    <col min="12801" max="12801" width="10.5546875" style="13" bestFit="1" customWidth="1"/>
    <col min="12802" max="12802" width="44.109375" style="13" customWidth="1"/>
    <col min="12803" max="12803" width="14.6640625" style="13" customWidth="1"/>
    <col min="12804" max="12804" width="23.6640625" style="13" bestFit="1" customWidth="1"/>
    <col min="12805" max="12805" width="11.88671875" style="13" customWidth="1"/>
    <col min="12806" max="12806" width="20.6640625" style="13" customWidth="1"/>
    <col min="12807" max="12807" width="15.6640625" style="13" customWidth="1"/>
    <col min="12808" max="12809" width="16.109375" style="13" bestFit="1" customWidth="1"/>
    <col min="12810" max="12810" width="13.6640625" style="13" customWidth="1"/>
    <col min="12811" max="12811" width="12.6640625" style="13" bestFit="1" customWidth="1"/>
    <col min="12812" max="12812" width="15.5546875" style="13" customWidth="1"/>
    <col min="12813" max="12813" width="16.109375" style="13" bestFit="1" customWidth="1"/>
    <col min="12814" max="12814" width="13.33203125" style="13" bestFit="1" customWidth="1"/>
    <col min="12815" max="12815" width="16.33203125" style="13" bestFit="1" customWidth="1"/>
    <col min="12816" max="12816" width="9.33203125" style="13" bestFit="1" customWidth="1"/>
    <col min="12817" max="12817" width="13" style="13" bestFit="1" customWidth="1"/>
    <col min="12818" max="12818" width="20.109375" style="13" bestFit="1" customWidth="1"/>
    <col min="12819" max="12819" width="50.33203125" style="13" bestFit="1" customWidth="1"/>
    <col min="12820" max="12820" width="16.109375" style="13" bestFit="1" customWidth="1"/>
    <col min="12821" max="12821" width="12.33203125" style="13" customWidth="1"/>
    <col min="12822" max="12822" width="18.88671875" style="13" bestFit="1" customWidth="1"/>
    <col min="12823" max="12823" width="16.6640625" style="13" customWidth="1"/>
    <col min="12824" max="12824" width="19" style="13" bestFit="1" customWidth="1"/>
    <col min="12825" max="12825" width="9.109375" style="13"/>
    <col min="12826" max="12826" width="18.88671875" style="13" bestFit="1" customWidth="1"/>
    <col min="12827" max="13056" width="9.109375" style="13"/>
    <col min="13057" max="13057" width="10.5546875" style="13" bestFit="1" customWidth="1"/>
    <col min="13058" max="13058" width="44.109375" style="13" customWidth="1"/>
    <col min="13059" max="13059" width="14.6640625" style="13" customWidth="1"/>
    <col min="13060" max="13060" width="23.6640625" style="13" bestFit="1" customWidth="1"/>
    <col min="13061" max="13061" width="11.88671875" style="13" customWidth="1"/>
    <col min="13062" max="13062" width="20.6640625" style="13" customWidth="1"/>
    <col min="13063" max="13063" width="15.6640625" style="13" customWidth="1"/>
    <col min="13064" max="13065" width="16.109375" style="13" bestFit="1" customWidth="1"/>
    <col min="13066" max="13066" width="13.6640625" style="13" customWidth="1"/>
    <col min="13067" max="13067" width="12.6640625" style="13" bestFit="1" customWidth="1"/>
    <col min="13068" max="13068" width="15.5546875" style="13" customWidth="1"/>
    <col min="13069" max="13069" width="16.109375" style="13" bestFit="1" customWidth="1"/>
    <col min="13070" max="13070" width="13.33203125" style="13" bestFit="1" customWidth="1"/>
    <col min="13071" max="13071" width="16.33203125" style="13" bestFit="1" customWidth="1"/>
    <col min="13072" max="13072" width="9.33203125" style="13" bestFit="1" customWidth="1"/>
    <col min="13073" max="13073" width="13" style="13" bestFit="1" customWidth="1"/>
    <col min="13074" max="13074" width="20.109375" style="13" bestFit="1" customWidth="1"/>
    <col min="13075" max="13075" width="50.33203125" style="13" bestFit="1" customWidth="1"/>
    <col min="13076" max="13076" width="16.109375" style="13" bestFit="1" customWidth="1"/>
    <col min="13077" max="13077" width="12.33203125" style="13" customWidth="1"/>
    <col min="13078" max="13078" width="18.88671875" style="13" bestFit="1" customWidth="1"/>
    <col min="13079" max="13079" width="16.6640625" style="13" customWidth="1"/>
    <col min="13080" max="13080" width="19" style="13" bestFit="1" customWidth="1"/>
    <col min="13081" max="13081" width="9.109375" style="13"/>
    <col min="13082" max="13082" width="18.88671875" style="13" bestFit="1" customWidth="1"/>
    <col min="13083" max="13312" width="9.109375" style="13"/>
    <col min="13313" max="13313" width="10.5546875" style="13" bestFit="1" customWidth="1"/>
    <col min="13314" max="13314" width="44.109375" style="13" customWidth="1"/>
    <col min="13315" max="13315" width="14.6640625" style="13" customWidth="1"/>
    <col min="13316" max="13316" width="23.6640625" style="13" bestFit="1" customWidth="1"/>
    <col min="13317" max="13317" width="11.88671875" style="13" customWidth="1"/>
    <col min="13318" max="13318" width="20.6640625" style="13" customWidth="1"/>
    <col min="13319" max="13319" width="15.6640625" style="13" customWidth="1"/>
    <col min="13320" max="13321" width="16.109375" style="13" bestFit="1" customWidth="1"/>
    <col min="13322" max="13322" width="13.6640625" style="13" customWidth="1"/>
    <col min="13323" max="13323" width="12.6640625" style="13" bestFit="1" customWidth="1"/>
    <col min="13324" max="13324" width="15.5546875" style="13" customWidth="1"/>
    <col min="13325" max="13325" width="16.109375" style="13" bestFit="1" customWidth="1"/>
    <col min="13326" max="13326" width="13.33203125" style="13" bestFit="1" customWidth="1"/>
    <col min="13327" max="13327" width="16.33203125" style="13" bestFit="1" customWidth="1"/>
    <col min="13328" max="13328" width="9.33203125" style="13" bestFit="1" customWidth="1"/>
    <col min="13329" max="13329" width="13" style="13" bestFit="1" customWidth="1"/>
    <col min="13330" max="13330" width="20.109375" style="13" bestFit="1" customWidth="1"/>
    <col min="13331" max="13331" width="50.33203125" style="13" bestFit="1" customWidth="1"/>
    <col min="13332" max="13332" width="16.109375" style="13" bestFit="1" customWidth="1"/>
    <col min="13333" max="13333" width="12.33203125" style="13" customWidth="1"/>
    <col min="13334" max="13334" width="18.88671875" style="13" bestFit="1" customWidth="1"/>
    <col min="13335" max="13335" width="16.6640625" style="13" customWidth="1"/>
    <col min="13336" max="13336" width="19" style="13" bestFit="1" customWidth="1"/>
    <col min="13337" max="13337" width="9.109375" style="13"/>
    <col min="13338" max="13338" width="18.88671875" style="13" bestFit="1" customWidth="1"/>
    <col min="13339" max="13568" width="9.109375" style="13"/>
    <col min="13569" max="13569" width="10.5546875" style="13" bestFit="1" customWidth="1"/>
    <col min="13570" max="13570" width="44.109375" style="13" customWidth="1"/>
    <col min="13571" max="13571" width="14.6640625" style="13" customWidth="1"/>
    <col min="13572" max="13572" width="23.6640625" style="13" bestFit="1" customWidth="1"/>
    <col min="13573" max="13573" width="11.88671875" style="13" customWidth="1"/>
    <col min="13574" max="13574" width="20.6640625" style="13" customWidth="1"/>
    <col min="13575" max="13575" width="15.6640625" style="13" customWidth="1"/>
    <col min="13576" max="13577" width="16.109375" style="13" bestFit="1" customWidth="1"/>
    <col min="13578" max="13578" width="13.6640625" style="13" customWidth="1"/>
    <col min="13579" max="13579" width="12.6640625" style="13" bestFit="1" customWidth="1"/>
    <col min="13580" max="13580" width="15.5546875" style="13" customWidth="1"/>
    <col min="13581" max="13581" width="16.109375" style="13" bestFit="1" customWidth="1"/>
    <col min="13582" max="13582" width="13.33203125" style="13" bestFit="1" customWidth="1"/>
    <col min="13583" max="13583" width="16.33203125" style="13" bestFit="1" customWidth="1"/>
    <col min="13584" max="13584" width="9.33203125" style="13" bestFit="1" customWidth="1"/>
    <col min="13585" max="13585" width="13" style="13" bestFit="1" customWidth="1"/>
    <col min="13586" max="13586" width="20.109375" style="13" bestFit="1" customWidth="1"/>
    <col min="13587" max="13587" width="50.33203125" style="13" bestFit="1" customWidth="1"/>
    <col min="13588" max="13588" width="16.109375" style="13" bestFit="1" customWidth="1"/>
    <col min="13589" max="13589" width="12.33203125" style="13" customWidth="1"/>
    <col min="13590" max="13590" width="18.88671875" style="13" bestFit="1" customWidth="1"/>
    <col min="13591" max="13591" width="16.6640625" style="13" customWidth="1"/>
    <col min="13592" max="13592" width="19" style="13" bestFit="1" customWidth="1"/>
    <col min="13593" max="13593" width="9.109375" style="13"/>
    <col min="13594" max="13594" width="18.88671875" style="13" bestFit="1" customWidth="1"/>
    <col min="13595" max="13824" width="9.109375" style="13"/>
    <col min="13825" max="13825" width="10.5546875" style="13" bestFit="1" customWidth="1"/>
    <col min="13826" max="13826" width="44.109375" style="13" customWidth="1"/>
    <col min="13827" max="13827" width="14.6640625" style="13" customWidth="1"/>
    <col min="13828" max="13828" width="23.6640625" style="13" bestFit="1" customWidth="1"/>
    <col min="13829" max="13829" width="11.88671875" style="13" customWidth="1"/>
    <col min="13830" max="13830" width="20.6640625" style="13" customWidth="1"/>
    <col min="13831" max="13831" width="15.6640625" style="13" customWidth="1"/>
    <col min="13832" max="13833" width="16.109375" style="13" bestFit="1" customWidth="1"/>
    <col min="13834" max="13834" width="13.6640625" style="13" customWidth="1"/>
    <col min="13835" max="13835" width="12.6640625" style="13" bestFit="1" customWidth="1"/>
    <col min="13836" max="13836" width="15.5546875" style="13" customWidth="1"/>
    <col min="13837" max="13837" width="16.109375" style="13" bestFit="1" customWidth="1"/>
    <col min="13838" max="13838" width="13.33203125" style="13" bestFit="1" customWidth="1"/>
    <col min="13839" max="13839" width="16.33203125" style="13" bestFit="1" customWidth="1"/>
    <col min="13840" max="13840" width="9.33203125" style="13" bestFit="1" customWidth="1"/>
    <col min="13841" max="13841" width="13" style="13" bestFit="1" customWidth="1"/>
    <col min="13842" max="13842" width="20.109375" style="13" bestFit="1" customWidth="1"/>
    <col min="13843" max="13843" width="50.33203125" style="13" bestFit="1" customWidth="1"/>
    <col min="13844" max="13844" width="16.109375" style="13" bestFit="1" customWidth="1"/>
    <col min="13845" max="13845" width="12.33203125" style="13" customWidth="1"/>
    <col min="13846" max="13846" width="18.88671875" style="13" bestFit="1" customWidth="1"/>
    <col min="13847" max="13847" width="16.6640625" style="13" customWidth="1"/>
    <col min="13848" max="13848" width="19" style="13" bestFit="1" customWidth="1"/>
    <col min="13849" max="13849" width="9.109375" style="13"/>
    <col min="13850" max="13850" width="18.88671875" style="13" bestFit="1" customWidth="1"/>
    <col min="13851" max="14080" width="9.109375" style="13"/>
    <col min="14081" max="14081" width="10.5546875" style="13" bestFit="1" customWidth="1"/>
    <col min="14082" max="14082" width="44.109375" style="13" customWidth="1"/>
    <col min="14083" max="14083" width="14.6640625" style="13" customWidth="1"/>
    <col min="14084" max="14084" width="23.6640625" style="13" bestFit="1" customWidth="1"/>
    <col min="14085" max="14085" width="11.88671875" style="13" customWidth="1"/>
    <col min="14086" max="14086" width="20.6640625" style="13" customWidth="1"/>
    <col min="14087" max="14087" width="15.6640625" style="13" customWidth="1"/>
    <col min="14088" max="14089" width="16.109375" style="13" bestFit="1" customWidth="1"/>
    <col min="14090" max="14090" width="13.6640625" style="13" customWidth="1"/>
    <col min="14091" max="14091" width="12.6640625" style="13" bestFit="1" customWidth="1"/>
    <col min="14092" max="14092" width="15.5546875" style="13" customWidth="1"/>
    <col min="14093" max="14093" width="16.109375" style="13" bestFit="1" customWidth="1"/>
    <col min="14094" max="14094" width="13.33203125" style="13" bestFit="1" customWidth="1"/>
    <col min="14095" max="14095" width="16.33203125" style="13" bestFit="1" customWidth="1"/>
    <col min="14096" max="14096" width="9.33203125" style="13" bestFit="1" customWidth="1"/>
    <col min="14097" max="14097" width="13" style="13" bestFit="1" customWidth="1"/>
    <col min="14098" max="14098" width="20.109375" style="13" bestFit="1" customWidth="1"/>
    <col min="14099" max="14099" width="50.33203125" style="13" bestFit="1" customWidth="1"/>
    <col min="14100" max="14100" width="16.109375" style="13" bestFit="1" customWidth="1"/>
    <col min="14101" max="14101" width="12.33203125" style="13" customWidth="1"/>
    <col min="14102" max="14102" width="18.88671875" style="13" bestFit="1" customWidth="1"/>
    <col min="14103" max="14103" width="16.6640625" style="13" customWidth="1"/>
    <col min="14104" max="14104" width="19" style="13" bestFit="1" customWidth="1"/>
    <col min="14105" max="14105" width="9.109375" style="13"/>
    <col min="14106" max="14106" width="18.88671875" style="13" bestFit="1" customWidth="1"/>
    <col min="14107" max="14336" width="9.109375" style="13"/>
    <col min="14337" max="14337" width="10.5546875" style="13" bestFit="1" customWidth="1"/>
    <col min="14338" max="14338" width="44.109375" style="13" customWidth="1"/>
    <col min="14339" max="14339" width="14.6640625" style="13" customWidth="1"/>
    <col min="14340" max="14340" width="23.6640625" style="13" bestFit="1" customWidth="1"/>
    <col min="14341" max="14341" width="11.88671875" style="13" customWidth="1"/>
    <col min="14342" max="14342" width="20.6640625" style="13" customWidth="1"/>
    <col min="14343" max="14343" width="15.6640625" style="13" customWidth="1"/>
    <col min="14344" max="14345" width="16.109375" style="13" bestFit="1" customWidth="1"/>
    <col min="14346" max="14346" width="13.6640625" style="13" customWidth="1"/>
    <col min="14347" max="14347" width="12.6640625" style="13" bestFit="1" customWidth="1"/>
    <col min="14348" max="14348" width="15.5546875" style="13" customWidth="1"/>
    <col min="14349" max="14349" width="16.109375" style="13" bestFit="1" customWidth="1"/>
    <col min="14350" max="14350" width="13.33203125" style="13" bestFit="1" customWidth="1"/>
    <col min="14351" max="14351" width="16.33203125" style="13" bestFit="1" customWidth="1"/>
    <col min="14352" max="14352" width="9.33203125" style="13" bestFit="1" customWidth="1"/>
    <col min="14353" max="14353" width="13" style="13" bestFit="1" customWidth="1"/>
    <col min="14354" max="14354" width="20.109375" style="13" bestFit="1" customWidth="1"/>
    <col min="14355" max="14355" width="50.33203125" style="13" bestFit="1" customWidth="1"/>
    <col min="14356" max="14356" width="16.109375" style="13" bestFit="1" customWidth="1"/>
    <col min="14357" max="14357" width="12.33203125" style="13" customWidth="1"/>
    <col min="14358" max="14358" width="18.88671875" style="13" bestFit="1" customWidth="1"/>
    <col min="14359" max="14359" width="16.6640625" style="13" customWidth="1"/>
    <col min="14360" max="14360" width="19" style="13" bestFit="1" customWidth="1"/>
    <col min="14361" max="14361" width="9.109375" style="13"/>
    <col min="14362" max="14362" width="18.88671875" style="13" bestFit="1" customWidth="1"/>
    <col min="14363" max="14592" width="9.109375" style="13"/>
    <col min="14593" max="14593" width="10.5546875" style="13" bestFit="1" customWidth="1"/>
    <col min="14594" max="14594" width="44.109375" style="13" customWidth="1"/>
    <col min="14595" max="14595" width="14.6640625" style="13" customWidth="1"/>
    <col min="14596" max="14596" width="23.6640625" style="13" bestFit="1" customWidth="1"/>
    <col min="14597" max="14597" width="11.88671875" style="13" customWidth="1"/>
    <col min="14598" max="14598" width="20.6640625" style="13" customWidth="1"/>
    <col min="14599" max="14599" width="15.6640625" style="13" customWidth="1"/>
    <col min="14600" max="14601" width="16.109375" style="13" bestFit="1" customWidth="1"/>
    <col min="14602" max="14602" width="13.6640625" style="13" customWidth="1"/>
    <col min="14603" max="14603" width="12.6640625" style="13" bestFit="1" customWidth="1"/>
    <col min="14604" max="14604" width="15.5546875" style="13" customWidth="1"/>
    <col min="14605" max="14605" width="16.109375" style="13" bestFit="1" customWidth="1"/>
    <col min="14606" max="14606" width="13.33203125" style="13" bestFit="1" customWidth="1"/>
    <col min="14607" max="14607" width="16.33203125" style="13" bestFit="1" customWidth="1"/>
    <col min="14608" max="14608" width="9.33203125" style="13" bestFit="1" customWidth="1"/>
    <col min="14609" max="14609" width="13" style="13" bestFit="1" customWidth="1"/>
    <col min="14610" max="14610" width="20.109375" style="13" bestFit="1" customWidth="1"/>
    <col min="14611" max="14611" width="50.33203125" style="13" bestFit="1" customWidth="1"/>
    <col min="14612" max="14612" width="16.109375" style="13" bestFit="1" customWidth="1"/>
    <col min="14613" max="14613" width="12.33203125" style="13" customWidth="1"/>
    <col min="14614" max="14614" width="18.88671875" style="13" bestFit="1" customWidth="1"/>
    <col min="14615" max="14615" width="16.6640625" style="13" customWidth="1"/>
    <col min="14616" max="14616" width="19" style="13" bestFit="1" customWidth="1"/>
    <col min="14617" max="14617" width="9.109375" style="13"/>
    <col min="14618" max="14618" width="18.88671875" style="13" bestFit="1" customWidth="1"/>
    <col min="14619" max="14848" width="9.109375" style="13"/>
    <col min="14849" max="14849" width="10.5546875" style="13" bestFit="1" customWidth="1"/>
    <col min="14850" max="14850" width="44.109375" style="13" customWidth="1"/>
    <col min="14851" max="14851" width="14.6640625" style="13" customWidth="1"/>
    <col min="14852" max="14852" width="23.6640625" style="13" bestFit="1" customWidth="1"/>
    <col min="14853" max="14853" width="11.88671875" style="13" customWidth="1"/>
    <col min="14854" max="14854" width="20.6640625" style="13" customWidth="1"/>
    <col min="14855" max="14855" width="15.6640625" style="13" customWidth="1"/>
    <col min="14856" max="14857" width="16.109375" style="13" bestFit="1" customWidth="1"/>
    <col min="14858" max="14858" width="13.6640625" style="13" customWidth="1"/>
    <col min="14859" max="14859" width="12.6640625" style="13" bestFit="1" customWidth="1"/>
    <col min="14860" max="14860" width="15.5546875" style="13" customWidth="1"/>
    <col min="14861" max="14861" width="16.109375" style="13" bestFit="1" customWidth="1"/>
    <col min="14862" max="14862" width="13.33203125" style="13" bestFit="1" customWidth="1"/>
    <col min="14863" max="14863" width="16.33203125" style="13" bestFit="1" customWidth="1"/>
    <col min="14864" max="14864" width="9.33203125" style="13" bestFit="1" customWidth="1"/>
    <col min="14865" max="14865" width="13" style="13" bestFit="1" customWidth="1"/>
    <col min="14866" max="14866" width="20.109375" style="13" bestFit="1" customWidth="1"/>
    <col min="14867" max="14867" width="50.33203125" style="13" bestFit="1" customWidth="1"/>
    <col min="14868" max="14868" width="16.109375" style="13" bestFit="1" customWidth="1"/>
    <col min="14869" max="14869" width="12.33203125" style="13" customWidth="1"/>
    <col min="14870" max="14870" width="18.88671875" style="13" bestFit="1" customWidth="1"/>
    <col min="14871" max="14871" width="16.6640625" style="13" customWidth="1"/>
    <col min="14872" max="14872" width="19" style="13" bestFit="1" customWidth="1"/>
    <col min="14873" max="14873" width="9.109375" style="13"/>
    <col min="14874" max="14874" width="18.88671875" style="13" bestFit="1" customWidth="1"/>
    <col min="14875" max="15104" width="9.109375" style="13"/>
    <col min="15105" max="15105" width="10.5546875" style="13" bestFit="1" customWidth="1"/>
    <col min="15106" max="15106" width="44.109375" style="13" customWidth="1"/>
    <col min="15107" max="15107" width="14.6640625" style="13" customWidth="1"/>
    <col min="15108" max="15108" width="23.6640625" style="13" bestFit="1" customWidth="1"/>
    <col min="15109" max="15109" width="11.88671875" style="13" customWidth="1"/>
    <col min="15110" max="15110" width="20.6640625" style="13" customWidth="1"/>
    <col min="15111" max="15111" width="15.6640625" style="13" customWidth="1"/>
    <col min="15112" max="15113" width="16.109375" style="13" bestFit="1" customWidth="1"/>
    <col min="15114" max="15114" width="13.6640625" style="13" customWidth="1"/>
    <col min="15115" max="15115" width="12.6640625" style="13" bestFit="1" customWidth="1"/>
    <col min="15116" max="15116" width="15.5546875" style="13" customWidth="1"/>
    <col min="15117" max="15117" width="16.109375" style="13" bestFit="1" customWidth="1"/>
    <col min="15118" max="15118" width="13.33203125" style="13" bestFit="1" customWidth="1"/>
    <col min="15119" max="15119" width="16.33203125" style="13" bestFit="1" customWidth="1"/>
    <col min="15120" max="15120" width="9.33203125" style="13" bestFit="1" customWidth="1"/>
    <col min="15121" max="15121" width="13" style="13" bestFit="1" customWidth="1"/>
    <col min="15122" max="15122" width="20.109375" style="13" bestFit="1" customWidth="1"/>
    <col min="15123" max="15123" width="50.33203125" style="13" bestFit="1" customWidth="1"/>
    <col min="15124" max="15124" width="16.109375" style="13" bestFit="1" customWidth="1"/>
    <col min="15125" max="15125" width="12.33203125" style="13" customWidth="1"/>
    <col min="15126" max="15126" width="18.88671875" style="13" bestFit="1" customWidth="1"/>
    <col min="15127" max="15127" width="16.6640625" style="13" customWidth="1"/>
    <col min="15128" max="15128" width="19" style="13" bestFit="1" customWidth="1"/>
    <col min="15129" max="15129" width="9.109375" style="13"/>
    <col min="15130" max="15130" width="18.88671875" style="13" bestFit="1" customWidth="1"/>
    <col min="15131" max="15360" width="9.109375" style="13"/>
    <col min="15361" max="15361" width="10.5546875" style="13" bestFit="1" customWidth="1"/>
    <col min="15362" max="15362" width="44.109375" style="13" customWidth="1"/>
    <col min="15363" max="15363" width="14.6640625" style="13" customWidth="1"/>
    <col min="15364" max="15364" width="23.6640625" style="13" bestFit="1" customWidth="1"/>
    <col min="15365" max="15365" width="11.88671875" style="13" customWidth="1"/>
    <col min="15366" max="15366" width="20.6640625" style="13" customWidth="1"/>
    <col min="15367" max="15367" width="15.6640625" style="13" customWidth="1"/>
    <col min="15368" max="15369" width="16.109375" style="13" bestFit="1" customWidth="1"/>
    <col min="15370" max="15370" width="13.6640625" style="13" customWidth="1"/>
    <col min="15371" max="15371" width="12.6640625" style="13" bestFit="1" customWidth="1"/>
    <col min="15372" max="15372" width="15.5546875" style="13" customWidth="1"/>
    <col min="15373" max="15373" width="16.109375" style="13" bestFit="1" customWidth="1"/>
    <col min="15374" max="15374" width="13.33203125" style="13" bestFit="1" customWidth="1"/>
    <col min="15375" max="15375" width="16.33203125" style="13" bestFit="1" customWidth="1"/>
    <col min="15376" max="15376" width="9.33203125" style="13" bestFit="1" customWidth="1"/>
    <col min="15377" max="15377" width="13" style="13" bestFit="1" customWidth="1"/>
    <col min="15378" max="15378" width="20.109375" style="13" bestFit="1" customWidth="1"/>
    <col min="15379" max="15379" width="50.33203125" style="13" bestFit="1" customWidth="1"/>
    <col min="15380" max="15380" width="16.109375" style="13" bestFit="1" customWidth="1"/>
    <col min="15381" max="15381" width="12.33203125" style="13" customWidth="1"/>
    <col min="15382" max="15382" width="18.88671875" style="13" bestFit="1" customWidth="1"/>
    <col min="15383" max="15383" width="16.6640625" style="13" customWidth="1"/>
    <col min="15384" max="15384" width="19" style="13" bestFit="1" customWidth="1"/>
    <col min="15385" max="15385" width="9.109375" style="13"/>
    <col min="15386" max="15386" width="18.88671875" style="13" bestFit="1" customWidth="1"/>
    <col min="15387" max="15616" width="9.109375" style="13"/>
    <col min="15617" max="15617" width="10.5546875" style="13" bestFit="1" customWidth="1"/>
    <col min="15618" max="15618" width="44.109375" style="13" customWidth="1"/>
    <col min="15619" max="15619" width="14.6640625" style="13" customWidth="1"/>
    <col min="15620" max="15620" width="23.6640625" style="13" bestFit="1" customWidth="1"/>
    <col min="15621" max="15621" width="11.88671875" style="13" customWidth="1"/>
    <col min="15622" max="15622" width="20.6640625" style="13" customWidth="1"/>
    <col min="15623" max="15623" width="15.6640625" style="13" customWidth="1"/>
    <col min="15624" max="15625" width="16.109375" style="13" bestFit="1" customWidth="1"/>
    <col min="15626" max="15626" width="13.6640625" style="13" customWidth="1"/>
    <col min="15627" max="15627" width="12.6640625" style="13" bestFit="1" customWidth="1"/>
    <col min="15628" max="15628" width="15.5546875" style="13" customWidth="1"/>
    <col min="15629" max="15629" width="16.109375" style="13" bestFit="1" customWidth="1"/>
    <col min="15630" max="15630" width="13.33203125" style="13" bestFit="1" customWidth="1"/>
    <col min="15631" max="15631" width="16.33203125" style="13" bestFit="1" customWidth="1"/>
    <col min="15632" max="15632" width="9.33203125" style="13" bestFit="1" customWidth="1"/>
    <col min="15633" max="15633" width="13" style="13" bestFit="1" customWidth="1"/>
    <col min="15634" max="15634" width="20.109375" style="13" bestFit="1" customWidth="1"/>
    <col min="15635" max="15635" width="50.33203125" style="13" bestFit="1" customWidth="1"/>
    <col min="15636" max="15636" width="16.109375" style="13" bestFit="1" customWidth="1"/>
    <col min="15637" max="15637" width="12.33203125" style="13" customWidth="1"/>
    <col min="15638" max="15638" width="18.88671875" style="13" bestFit="1" customWidth="1"/>
    <col min="15639" max="15639" width="16.6640625" style="13" customWidth="1"/>
    <col min="15640" max="15640" width="19" style="13" bestFit="1" customWidth="1"/>
    <col min="15641" max="15641" width="9.109375" style="13"/>
    <col min="15642" max="15642" width="18.88671875" style="13" bestFit="1" customWidth="1"/>
    <col min="15643" max="15872" width="9.109375" style="13"/>
    <col min="15873" max="15873" width="10.5546875" style="13" bestFit="1" customWidth="1"/>
    <col min="15874" max="15874" width="44.109375" style="13" customWidth="1"/>
    <col min="15875" max="15875" width="14.6640625" style="13" customWidth="1"/>
    <col min="15876" max="15876" width="23.6640625" style="13" bestFit="1" customWidth="1"/>
    <col min="15877" max="15877" width="11.88671875" style="13" customWidth="1"/>
    <col min="15878" max="15878" width="20.6640625" style="13" customWidth="1"/>
    <col min="15879" max="15879" width="15.6640625" style="13" customWidth="1"/>
    <col min="15880" max="15881" width="16.109375" style="13" bestFit="1" customWidth="1"/>
    <col min="15882" max="15882" width="13.6640625" style="13" customWidth="1"/>
    <col min="15883" max="15883" width="12.6640625" style="13" bestFit="1" customWidth="1"/>
    <col min="15884" max="15884" width="15.5546875" style="13" customWidth="1"/>
    <col min="15885" max="15885" width="16.109375" style="13" bestFit="1" customWidth="1"/>
    <col min="15886" max="15886" width="13.33203125" style="13" bestFit="1" customWidth="1"/>
    <col min="15887" max="15887" width="16.33203125" style="13" bestFit="1" customWidth="1"/>
    <col min="15888" max="15888" width="9.33203125" style="13" bestFit="1" customWidth="1"/>
    <col min="15889" max="15889" width="13" style="13" bestFit="1" customWidth="1"/>
    <col min="15890" max="15890" width="20.109375" style="13" bestFit="1" customWidth="1"/>
    <col min="15891" max="15891" width="50.33203125" style="13" bestFit="1" customWidth="1"/>
    <col min="15892" max="15892" width="16.109375" style="13" bestFit="1" customWidth="1"/>
    <col min="15893" max="15893" width="12.33203125" style="13" customWidth="1"/>
    <col min="15894" max="15894" width="18.88671875" style="13" bestFit="1" customWidth="1"/>
    <col min="15895" max="15895" width="16.6640625" style="13" customWidth="1"/>
    <col min="15896" max="15896" width="19" style="13" bestFit="1" customWidth="1"/>
    <col min="15897" max="15897" width="9.109375" style="13"/>
    <col min="15898" max="15898" width="18.88671875" style="13" bestFit="1" customWidth="1"/>
    <col min="15899" max="16128" width="9.109375" style="13"/>
    <col min="16129" max="16129" width="10.5546875" style="13" bestFit="1" customWidth="1"/>
    <col min="16130" max="16130" width="44.109375" style="13" customWidth="1"/>
    <col min="16131" max="16131" width="14.6640625" style="13" customWidth="1"/>
    <col min="16132" max="16132" width="23.6640625" style="13" bestFit="1" customWidth="1"/>
    <col min="16133" max="16133" width="11.88671875" style="13" customWidth="1"/>
    <col min="16134" max="16134" width="20.6640625" style="13" customWidth="1"/>
    <col min="16135" max="16135" width="15.6640625" style="13" customWidth="1"/>
    <col min="16136" max="16137" width="16.109375" style="13" bestFit="1" customWidth="1"/>
    <col min="16138" max="16138" width="13.6640625" style="13" customWidth="1"/>
    <col min="16139" max="16139" width="12.6640625" style="13" bestFit="1" customWidth="1"/>
    <col min="16140" max="16140" width="15.5546875" style="13" customWidth="1"/>
    <col min="16141" max="16141" width="16.109375" style="13" bestFit="1" customWidth="1"/>
    <col min="16142" max="16142" width="13.33203125" style="13" bestFit="1" customWidth="1"/>
    <col min="16143" max="16143" width="16.33203125" style="13" bestFit="1" customWidth="1"/>
    <col min="16144" max="16144" width="9.33203125" style="13" bestFit="1" customWidth="1"/>
    <col min="16145" max="16145" width="13" style="13" bestFit="1" customWidth="1"/>
    <col min="16146" max="16146" width="20.109375" style="13" bestFit="1" customWidth="1"/>
    <col min="16147" max="16147" width="50.33203125" style="13" bestFit="1" customWidth="1"/>
    <col min="16148" max="16148" width="16.109375" style="13" bestFit="1" customWidth="1"/>
    <col min="16149" max="16149" width="12.33203125" style="13" customWidth="1"/>
    <col min="16150" max="16150" width="18.88671875" style="13" bestFit="1" customWidth="1"/>
    <col min="16151" max="16151" width="16.6640625" style="13" customWidth="1"/>
    <col min="16152" max="16152" width="19" style="13" bestFit="1" customWidth="1"/>
    <col min="16153" max="16153" width="9.109375" style="13"/>
    <col min="16154" max="16154" width="18.88671875" style="13" bestFit="1" customWidth="1"/>
    <col min="16155" max="16384" width="9.109375" style="13"/>
  </cols>
  <sheetData>
    <row r="1" spans="1:26">
      <c r="J1" s="16"/>
      <c r="K1" s="16"/>
      <c r="L1" s="16"/>
    </row>
    <row r="2" spans="1:26" ht="17.399999999999999">
      <c r="A2" s="208" t="s">
        <v>226</v>
      </c>
      <c r="J2" s="207"/>
      <c r="K2" s="16"/>
      <c r="L2" s="16"/>
    </row>
    <row r="3" spans="1:26" ht="14.4" thickBot="1">
      <c r="A3" s="9" t="s">
        <v>132</v>
      </c>
      <c r="H3" s="49"/>
      <c r="J3" s="206"/>
      <c r="K3" s="16"/>
      <c r="L3" s="16"/>
    </row>
    <row r="4" spans="1:26" ht="16.2" thickBot="1">
      <c r="A4" s="92"/>
      <c r="B4" s="90"/>
      <c r="C4" s="90" t="s">
        <v>225</v>
      </c>
      <c r="D4" s="205">
        <f>L218</f>
        <v>2.6353</v>
      </c>
      <c r="H4" s="49"/>
      <c r="J4" s="194"/>
      <c r="K4" s="204"/>
      <c r="L4" s="16"/>
    </row>
    <row r="5" spans="1:26">
      <c r="A5" s="94"/>
      <c r="B5" s="94"/>
      <c r="C5" s="94"/>
      <c r="D5" s="94"/>
      <c r="E5" s="94"/>
      <c r="F5" s="94"/>
      <c r="H5" s="49"/>
      <c r="J5" s="16"/>
      <c r="K5" s="193"/>
      <c r="L5" s="48"/>
      <c r="M5" s="49"/>
      <c r="N5" s="49"/>
      <c r="O5" s="49"/>
      <c r="P5" s="49"/>
      <c r="Q5" s="49"/>
      <c r="R5" s="49"/>
      <c r="S5" s="49"/>
      <c r="T5" s="203"/>
      <c r="U5" s="203"/>
      <c r="V5" s="203"/>
      <c r="W5" s="203"/>
      <c r="X5" s="203"/>
    </row>
    <row r="6" spans="1:26" ht="14.4">
      <c r="A6" s="94"/>
      <c r="B6" s="202"/>
      <c r="C6" s="201"/>
      <c r="D6" s="200"/>
      <c r="E6" s="201"/>
      <c r="F6" s="200" t="s">
        <v>99</v>
      </c>
      <c r="H6" s="49"/>
      <c r="J6" s="16"/>
      <c r="K6" s="193"/>
      <c r="L6" s="48"/>
      <c r="M6" s="49"/>
      <c r="N6" s="49"/>
      <c r="O6" s="49"/>
      <c r="P6" s="49"/>
      <c r="Q6" s="49"/>
      <c r="R6" s="49"/>
      <c r="S6" s="49"/>
      <c r="T6" s="199"/>
      <c r="X6" s="198"/>
      <c r="Z6" s="192"/>
    </row>
    <row r="7" spans="1:26" ht="15.6">
      <c r="A7" s="100"/>
      <c r="B7" s="197"/>
      <c r="C7" s="197"/>
      <c r="D7" s="9"/>
      <c r="E7" s="196" t="s">
        <v>224</v>
      </c>
      <c r="F7" s="195">
        <f>L214</f>
        <v>8.6639999999999995E-2</v>
      </c>
      <c r="H7" s="49"/>
      <c r="J7" s="194"/>
      <c r="K7" s="193"/>
      <c r="L7" s="48"/>
      <c r="M7" s="49"/>
      <c r="N7" s="49"/>
      <c r="O7" s="49"/>
      <c r="P7" s="49"/>
      <c r="Q7" s="49"/>
      <c r="R7" s="49"/>
      <c r="S7" s="49"/>
      <c r="T7" s="86"/>
      <c r="Z7" s="192"/>
    </row>
    <row r="8" spans="1:26" ht="14.4">
      <c r="A8" s="93"/>
      <c r="B8" s="93"/>
      <c r="H8" s="49"/>
      <c r="J8" s="16"/>
      <c r="K8" s="48"/>
      <c r="L8" s="48"/>
      <c r="M8" s="49"/>
      <c r="N8" s="49"/>
      <c r="O8" s="49"/>
      <c r="P8" s="49"/>
      <c r="Q8" s="49"/>
      <c r="R8" s="49"/>
      <c r="S8" s="49"/>
      <c r="Z8" s="192"/>
    </row>
    <row r="9" spans="1:26" ht="14.4">
      <c r="H9" s="49"/>
      <c r="J9" s="16"/>
      <c r="K9" s="48"/>
      <c r="L9" s="48"/>
      <c r="M9" s="49"/>
      <c r="N9" s="49"/>
      <c r="O9" s="49"/>
      <c r="P9" s="49"/>
      <c r="Q9" s="49"/>
      <c r="R9" s="49"/>
      <c r="S9" s="49"/>
      <c r="Z9" s="192"/>
    </row>
    <row r="10" spans="1:26" ht="14.4">
      <c r="H10" s="49"/>
      <c r="J10" s="16"/>
      <c r="K10" s="48"/>
      <c r="L10" s="48"/>
      <c r="M10" s="49"/>
      <c r="N10" s="49"/>
      <c r="O10" s="49"/>
      <c r="P10" s="49"/>
      <c r="Q10" s="49"/>
      <c r="R10" s="49"/>
      <c r="S10" s="49"/>
      <c r="T10" s="190"/>
      <c r="X10" s="190"/>
      <c r="Z10" s="192"/>
    </row>
    <row r="11" spans="1:26">
      <c r="H11" s="49"/>
      <c r="J11" s="16"/>
      <c r="K11" s="48"/>
      <c r="L11" s="48"/>
      <c r="M11" s="49"/>
      <c r="N11" s="49"/>
      <c r="O11" s="49"/>
      <c r="P11" s="49"/>
      <c r="Q11" s="49"/>
      <c r="R11" s="49"/>
      <c r="S11" s="49"/>
      <c r="Z11" s="49"/>
    </row>
    <row r="12" spans="1:26">
      <c r="B12" s="150" t="s">
        <v>223</v>
      </c>
      <c r="H12" s="49"/>
      <c r="K12" s="49"/>
      <c r="L12" s="49"/>
      <c r="M12" s="49"/>
      <c r="N12" s="49"/>
      <c r="O12" s="49"/>
      <c r="P12" s="49"/>
      <c r="Q12" s="49"/>
      <c r="R12" s="49"/>
      <c r="S12" s="49"/>
      <c r="Z12" s="49"/>
    </row>
    <row r="13" spans="1:26">
      <c r="B13" s="124"/>
      <c r="H13" s="49"/>
      <c r="K13" s="49"/>
      <c r="L13" s="49"/>
      <c r="M13" s="49"/>
      <c r="N13" s="49"/>
      <c r="O13" s="49"/>
      <c r="P13" s="49"/>
      <c r="Q13" s="49"/>
      <c r="R13" s="49"/>
      <c r="S13" s="49"/>
      <c r="Z13" s="49"/>
    </row>
    <row r="14" spans="1:26">
      <c r="B14" s="129" t="s">
        <v>222</v>
      </c>
      <c r="C14" s="94"/>
      <c r="D14" s="94"/>
      <c r="E14" s="94"/>
      <c r="H14" s="49"/>
      <c r="K14" s="49"/>
      <c r="L14" s="49"/>
      <c r="M14" s="49"/>
      <c r="N14" s="49"/>
      <c r="O14" s="49"/>
      <c r="P14" s="49"/>
      <c r="Q14" s="49"/>
      <c r="R14" s="49"/>
      <c r="S14" s="49"/>
      <c r="Z14" s="49"/>
    </row>
    <row r="15" spans="1:26" ht="14.4">
      <c r="B15" s="139" t="s">
        <v>172</v>
      </c>
      <c r="C15" s="139"/>
      <c r="D15" s="233">
        <v>14101.476000000001</v>
      </c>
      <c r="E15" s="141" t="s">
        <v>171</v>
      </c>
      <c r="F15" s="49"/>
      <c r="H15" s="49"/>
      <c r="K15" s="49"/>
      <c r="L15" s="49"/>
      <c r="M15" s="49"/>
      <c r="N15" s="49"/>
      <c r="O15" s="49"/>
      <c r="P15" s="49"/>
      <c r="Q15" s="49"/>
      <c r="R15" s="49"/>
      <c r="S15" s="49"/>
      <c r="T15" s="190"/>
      <c r="V15" s="190"/>
      <c r="X15" s="190"/>
      <c r="Z15" s="190"/>
    </row>
    <row r="16" spans="1:26" ht="14.4">
      <c r="B16" s="139" t="s">
        <v>170</v>
      </c>
      <c r="C16" s="139"/>
      <c r="D16" s="233">
        <v>146</v>
      </c>
      <c r="E16" s="141" t="s">
        <v>169</v>
      </c>
      <c r="F16" s="49"/>
      <c r="K16" s="49"/>
      <c r="L16" s="49"/>
      <c r="N16" s="49"/>
      <c r="O16" s="49"/>
      <c r="P16" s="49"/>
      <c r="Q16" s="49"/>
      <c r="R16" s="49"/>
      <c r="S16" s="49"/>
      <c r="T16" s="190"/>
      <c r="V16" s="190"/>
      <c r="X16" s="190"/>
      <c r="Z16" s="190"/>
    </row>
    <row r="17" spans="1:26" ht="14.4">
      <c r="B17" s="139" t="s">
        <v>168</v>
      </c>
      <c r="C17" s="139"/>
      <c r="D17" s="233">
        <v>2337</v>
      </c>
      <c r="E17" s="141" t="s">
        <v>103</v>
      </c>
      <c r="F17" s="49"/>
      <c r="K17" s="49"/>
      <c r="L17" s="49"/>
      <c r="N17" s="49"/>
      <c r="O17" s="49"/>
      <c r="P17" s="49"/>
      <c r="Q17" s="49"/>
      <c r="R17" s="49"/>
      <c r="S17" s="49"/>
      <c r="T17" s="190"/>
      <c r="V17" s="190"/>
      <c r="X17" s="190"/>
      <c r="Z17" s="190"/>
    </row>
    <row r="18" spans="1:26" ht="14.4">
      <c r="B18" s="139" t="s">
        <v>167</v>
      </c>
      <c r="C18" s="139"/>
      <c r="D18" s="233">
        <v>27095983</v>
      </c>
      <c r="E18" s="141" t="s">
        <v>166</v>
      </c>
      <c r="F18" s="49"/>
      <c r="K18" s="49"/>
      <c r="L18" s="49"/>
      <c r="N18" s="49"/>
      <c r="O18" s="49"/>
      <c r="P18" s="49"/>
      <c r="Q18" s="49"/>
      <c r="R18" s="49"/>
      <c r="S18" s="49"/>
      <c r="T18" s="190"/>
      <c r="V18" s="190"/>
      <c r="X18" s="190"/>
      <c r="Z18" s="190"/>
    </row>
    <row r="19" spans="1:26">
      <c r="B19" s="94"/>
      <c r="C19" s="94"/>
      <c r="D19" s="107"/>
      <c r="E19" s="141"/>
      <c r="F19" s="49"/>
      <c r="H19" s="49"/>
      <c r="K19" s="49"/>
      <c r="L19" s="49"/>
      <c r="M19" s="49"/>
      <c r="N19" s="49"/>
      <c r="O19" s="49"/>
      <c r="P19" s="188"/>
      <c r="Q19" s="49"/>
      <c r="R19" s="49"/>
      <c r="S19" s="49"/>
      <c r="Z19" s="49"/>
    </row>
    <row r="20" spans="1:26" ht="14.4">
      <c r="B20" s="94"/>
      <c r="C20" s="94"/>
      <c r="D20" s="107"/>
      <c r="E20" s="141"/>
      <c r="H20" s="49"/>
      <c r="K20" s="49"/>
      <c r="L20" s="49"/>
      <c r="M20" s="49"/>
      <c r="N20" s="49"/>
      <c r="O20" s="189"/>
      <c r="P20" s="188"/>
      <c r="Q20" s="49"/>
      <c r="R20" s="49"/>
      <c r="S20" s="49"/>
      <c r="Z20" s="49"/>
    </row>
    <row r="21" spans="1:26" ht="14.4">
      <c r="H21" s="49"/>
      <c r="K21" s="49"/>
      <c r="L21" s="49"/>
      <c r="M21" s="48"/>
      <c r="N21" s="48"/>
      <c r="O21" s="174"/>
      <c r="P21" s="48"/>
      <c r="Q21" s="48"/>
      <c r="R21" s="48"/>
      <c r="S21" s="48"/>
      <c r="Z21" s="49"/>
    </row>
    <row r="22" spans="1:26" s="87" customFormat="1" ht="14.4">
      <c r="M22" s="186"/>
      <c r="N22" s="186"/>
      <c r="O22" s="187"/>
      <c r="P22" s="186"/>
      <c r="Q22" s="186"/>
      <c r="R22" s="186"/>
      <c r="S22" s="186"/>
    </row>
    <row r="23" spans="1:26" ht="14.4">
      <c r="G23" s="49"/>
      <c r="H23" s="49"/>
      <c r="I23" s="49"/>
      <c r="J23" s="49"/>
      <c r="K23" s="185"/>
      <c r="L23" s="49"/>
      <c r="M23" s="48"/>
      <c r="N23" s="48"/>
      <c r="O23" s="174"/>
      <c r="P23" s="48"/>
      <c r="Q23" s="48"/>
      <c r="R23" s="48"/>
      <c r="S23" s="48"/>
      <c r="T23" s="49"/>
      <c r="U23" s="49"/>
      <c r="V23" s="49"/>
      <c r="W23" s="49"/>
      <c r="X23" s="49"/>
      <c r="Y23" s="49"/>
      <c r="Z23" s="49"/>
    </row>
    <row r="24" spans="1:26">
      <c r="B24" s="94" t="s">
        <v>221</v>
      </c>
      <c r="G24" s="49"/>
      <c r="H24" s="49"/>
      <c r="I24" s="49"/>
      <c r="J24" s="49"/>
      <c r="L24" s="49"/>
      <c r="M24" s="48"/>
      <c r="N24" s="48"/>
      <c r="O24" s="48"/>
      <c r="P24" s="48"/>
      <c r="Q24" s="48"/>
      <c r="R24" s="48"/>
      <c r="S24" s="48"/>
      <c r="T24" s="49"/>
      <c r="U24" s="49"/>
      <c r="V24" s="49"/>
      <c r="W24" s="49"/>
      <c r="X24" s="49"/>
      <c r="Y24" s="49"/>
      <c r="Z24" s="49"/>
    </row>
    <row r="25" spans="1:26">
      <c r="D25" s="104"/>
      <c r="G25" s="49"/>
      <c r="H25" s="49"/>
      <c r="I25" s="49"/>
      <c r="J25" s="49"/>
      <c r="L25" s="49"/>
      <c r="M25" s="48"/>
      <c r="N25" s="48"/>
      <c r="O25" s="48"/>
      <c r="P25" s="48"/>
      <c r="Q25" s="48"/>
      <c r="R25" s="48"/>
      <c r="S25" s="48"/>
      <c r="T25" s="49"/>
      <c r="U25" s="49"/>
      <c r="V25" s="49"/>
      <c r="W25" s="49"/>
      <c r="X25" s="49"/>
      <c r="Y25" s="49"/>
      <c r="Z25" s="49"/>
    </row>
    <row r="26" spans="1:26">
      <c r="A26" s="184" t="s">
        <v>0</v>
      </c>
      <c r="B26" s="183"/>
      <c r="C26" s="182"/>
      <c r="D26" s="176" t="s">
        <v>218</v>
      </c>
      <c r="E26" s="181" t="s">
        <v>220</v>
      </c>
      <c r="F26" s="181"/>
      <c r="L26" s="49"/>
      <c r="M26" s="48"/>
      <c r="N26" s="48"/>
      <c r="O26" s="48"/>
      <c r="P26" s="48"/>
      <c r="Q26" s="48"/>
      <c r="R26" s="48"/>
      <c r="S26" s="48"/>
      <c r="T26" s="49"/>
      <c r="U26" s="49"/>
      <c r="V26" s="49"/>
      <c r="W26" s="49"/>
      <c r="X26" s="49"/>
      <c r="Y26" s="49"/>
      <c r="Z26" s="49"/>
    </row>
    <row r="27" spans="1:26">
      <c r="A27" s="180" t="s">
        <v>2</v>
      </c>
      <c r="B27" s="180"/>
      <c r="C27" s="179" t="s">
        <v>219</v>
      </c>
      <c r="D27" s="178" t="s">
        <v>81</v>
      </c>
      <c r="E27" s="178" t="s">
        <v>218</v>
      </c>
      <c r="F27" s="175"/>
      <c r="K27" s="49"/>
      <c r="M27" s="48"/>
      <c r="N27" s="48"/>
      <c r="O27" s="48"/>
      <c r="P27" s="48"/>
      <c r="Q27" s="48"/>
      <c r="R27" s="48"/>
      <c r="S27" s="48"/>
      <c r="T27" s="49"/>
      <c r="U27" s="49"/>
      <c r="V27" s="49"/>
      <c r="W27" s="49"/>
      <c r="X27" s="49"/>
      <c r="Y27" s="49"/>
      <c r="Z27" s="49"/>
    </row>
    <row r="28" spans="1:26">
      <c r="A28" s="177"/>
      <c r="B28" s="177" t="s">
        <v>4</v>
      </c>
      <c r="C28" s="177" t="s">
        <v>5</v>
      </c>
      <c r="D28" s="176" t="s">
        <v>6</v>
      </c>
      <c r="E28" s="176" t="s">
        <v>7</v>
      </c>
      <c r="F28" s="175"/>
      <c r="K28" s="49"/>
      <c r="M28" s="48"/>
      <c r="N28" s="48"/>
      <c r="O28" s="48"/>
      <c r="P28" s="48"/>
      <c r="Q28" s="48"/>
      <c r="R28" s="48"/>
      <c r="S28" s="48"/>
      <c r="T28" s="49"/>
      <c r="U28" s="49"/>
      <c r="V28" s="49"/>
      <c r="W28" s="49"/>
      <c r="X28" s="49"/>
      <c r="Y28" s="49"/>
      <c r="Z28" s="49"/>
    </row>
    <row r="29" spans="1:26" ht="14.4">
      <c r="A29" s="167">
        <v>1</v>
      </c>
      <c r="B29" s="169" t="s">
        <v>217</v>
      </c>
      <c r="C29" s="232">
        <f>SUM(D29:E29)</f>
        <v>173788</v>
      </c>
      <c r="D29" s="226">
        <v>86894</v>
      </c>
      <c r="E29" s="226">
        <v>86894</v>
      </c>
      <c r="F29" s="163"/>
      <c r="K29" s="49"/>
      <c r="M29" s="48"/>
      <c r="N29" s="48"/>
      <c r="O29" s="48"/>
      <c r="P29" s="48"/>
      <c r="Q29" s="48"/>
      <c r="R29" s="48"/>
      <c r="S29" s="48"/>
      <c r="T29" s="49"/>
      <c r="U29" s="49"/>
      <c r="V29" s="49"/>
      <c r="W29" s="49"/>
      <c r="X29" s="49"/>
      <c r="Y29" s="49"/>
      <c r="Z29" s="49"/>
    </row>
    <row r="30" spans="1:26" ht="14.4">
      <c r="A30" s="167">
        <v>2</v>
      </c>
      <c r="B30" s="174" t="s">
        <v>240</v>
      </c>
      <c r="C30" s="232">
        <f>SUM(D30:E30)</f>
        <v>8652</v>
      </c>
      <c r="D30" s="226">
        <v>4326</v>
      </c>
      <c r="E30" s="226">
        <f>D30</f>
        <v>4326</v>
      </c>
      <c r="F30" s="163"/>
      <c r="G30" s="173"/>
      <c r="K30" s="49"/>
      <c r="R30" s="49"/>
      <c r="S30" s="49"/>
      <c r="T30" s="49"/>
      <c r="U30" s="49"/>
      <c r="V30" s="49"/>
      <c r="W30" s="49"/>
      <c r="X30" s="49"/>
      <c r="Y30" s="49"/>
      <c r="Z30" s="49"/>
    </row>
    <row r="31" spans="1:26" ht="14.4">
      <c r="A31" s="167"/>
      <c r="B31" s="174" t="s">
        <v>239</v>
      </c>
      <c r="C31" s="232">
        <f>SUM(D31:E31)</f>
        <v>460</v>
      </c>
      <c r="D31" s="226">
        <v>230</v>
      </c>
      <c r="E31" s="226">
        <v>230</v>
      </c>
      <c r="F31" s="163"/>
      <c r="G31" s="173"/>
      <c r="K31" s="49"/>
      <c r="R31" s="49"/>
      <c r="S31" s="49"/>
      <c r="T31" s="49"/>
      <c r="U31" s="49"/>
      <c r="V31" s="49"/>
      <c r="W31" s="49"/>
      <c r="X31" s="49"/>
      <c r="Y31" s="49"/>
      <c r="Z31" s="49"/>
    </row>
    <row r="32" spans="1:26" ht="14.4">
      <c r="A32" s="167">
        <v>3</v>
      </c>
      <c r="B32" s="169" t="s">
        <v>215</v>
      </c>
      <c r="C32" s="231">
        <v>1551550</v>
      </c>
      <c r="D32" s="231">
        <v>249795.4</v>
      </c>
      <c r="E32" s="231">
        <v>1301754.3999999999</v>
      </c>
      <c r="F32" s="163"/>
      <c r="G32" s="173"/>
      <c r="I32" s="220" t="s">
        <v>238</v>
      </c>
      <c r="K32" s="49"/>
      <c r="R32" s="49"/>
      <c r="S32" s="49"/>
      <c r="T32" s="49"/>
      <c r="U32" s="49"/>
      <c r="V32" s="49"/>
      <c r="W32" s="49"/>
      <c r="X32" s="49"/>
      <c r="Y32" s="49"/>
      <c r="Z32" s="49"/>
    </row>
    <row r="33" spans="1:26">
      <c r="B33" s="166"/>
      <c r="C33" s="172">
        <v>15155</v>
      </c>
      <c r="D33" s="171"/>
      <c r="E33" s="171"/>
      <c r="F33" s="16"/>
      <c r="I33" s="49" t="s">
        <v>237</v>
      </c>
      <c r="K33" s="49"/>
      <c r="R33" s="49"/>
      <c r="S33" s="49"/>
      <c r="T33" s="49"/>
      <c r="U33" s="49"/>
      <c r="V33" s="49"/>
      <c r="W33" s="49"/>
      <c r="X33" s="49"/>
      <c r="Y33" s="49"/>
      <c r="Z33" s="49"/>
    </row>
    <row r="34" spans="1:26">
      <c r="A34" s="167"/>
      <c r="B34" s="170"/>
      <c r="C34" s="169"/>
      <c r="D34" s="169"/>
      <c r="E34" s="169"/>
      <c r="F34" s="163"/>
      <c r="I34" s="49" t="s">
        <v>236</v>
      </c>
      <c r="K34" s="49"/>
      <c r="R34" s="49"/>
      <c r="S34" s="49"/>
      <c r="T34" s="49"/>
      <c r="U34" s="49"/>
      <c r="V34" s="49"/>
      <c r="W34" s="49"/>
      <c r="X34" s="49"/>
      <c r="Y34" s="49"/>
      <c r="Z34" s="49"/>
    </row>
    <row r="35" spans="1:26" ht="14.4">
      <c r="A35" s="167"/>
      <c r="B35" s="166" t="s">
        <v>262</v>
      </c>
      <c r="C35" s="215">
        <f>SUM(D35:E35)</f>
        <v>-439308</v>
      </c>
      <c r="D35" s="226">
        <v>-70727</v>
      </c>
      <c r="E35" s="226">
        <v>-368581</v>
      </c>
      <c r="F35" s="163"/>
      <c r="K35" s="49"/>
      <c r="R35" s="49"/>
      <c r="S35" s="49"/>
      <c r="T35" s="49"/>
      <c r="U35" s="49"/>
      <c r="V35" s="49"/>
      <c r="W35" s="49"/>
      <c r="X35" s="49"/>
      <c r="Y35" s="49"/>
      <c r="Z35" s="49"/>
    </row>
    <row r="36" spans="1:26" ht="14.4">
      <c r="A36" s="167"/>
      <c r="B36" s="166" t="s">
        <v>261</v>
      </c>
      <c r="C36" s="230">
        <f>C32+C35</f>
        <v>1112242</v>
      </c>
      <c r="D36" s="230">
        <f>D32+D35</f>
        <v>179068.4</v>
      </c>
      <c r="E36" s="230">
        <f>E32+E35</f>
        <v>933173.39999999991</v>
      </c>
      <c r="F36" s="163"/>
      <c r="I36" s="229" t="s">
        <v>235</v>
      </c>
      <c r="J36" s="224">
        <v>91450</v>
      </c>
      <c r="K36" s="13">
        <v>-91449.5</v>
      </c>
      <c r="L36" s="229" t="s">
        <v>234</v>
      </c>
      <c r="R36" s="49"/>
      <c r="S36" s="49"/>
      <c r="T36" s="49"/>
      <c r="U36" s="49"/>
      <c r="V36" s="49"/>
      <c r="W36" s="49"/>
      <c r="X36" s="49"/>
      <c r="Y36" s="49"/>
      <c r="Z36" s="49"/>
    </row>
    <row r="37" spans="1:26" ht="14.4">
      <c r="I37" s="229" t="s">
        <v>233</v>
      </c>
      <c r="J37" s="224">
        <v>249795</v>
      </c>
      <c r="K37" s="13">
        <v>249795.44959999999</v>
      </c>
      <c r="R37" s="49"/>
      <c r="S37" s="49"/>
      <c r="T37" s="49"/>
      <c r="U37" s="49"/>
      <c r="V37" s="49"/>
      <c r="W37" s="49"/>
      <c r="X37" s="49"/>
      <c r="Y37" s="49"/>
      <c r="Z37" s="49"/>
    </row>
    <row r="38" spans="1:26" ht="14.4">
      <c r="I38" s="229" t="s">
        <v>232</v>
      </c>
      <c r="J38" s="224">
        <v>67127</v>
      </c>
      <c r="K38" s="13">
        <v>67127.161099999998</v>
      </c>
      <c r="R38" s="49"/>
      <c r="S38" s="49"/>
      <c r="T38" s="49"/>
      <c r="U38" s="49"/>
      <c r="V38" s="49"/>
      <c r="W38" s="49"/>
      <c r="X38" s="49"/>
      <c r="Y38" s="49"/>
      <c r="Z38" s="49"/>
    </row>
    <row r="39" spans="1:26" ht="14.4">
      <c r="B39" s="161" t="s">
        <v>214</v>
      </c>
      <c r="C39" s="13" t="s">
        <v>209</v>
      </c>
      <c r="D39" s="215">
        <f>(D29+D30+D31)</f>
        <v>91450</v>
      </c>
      <c r="E39" s="49" t="s">
        <v>213</v>
      </c>
      <c r="I39" s="229" t="s">
        <v>231</v>
      </c>
      <c r="J39" s="224">
        <v>3600</v>
      </c>
      <c r="K39" s="13">
        <v>3600.2842999999998</v>
      </c>
      <c r="L39" s="13">
        <f>J36/J37</f>
        <v>0.36610020216577593</v>
      </c>
      <c r="M39" s="13">
        <f>K36/K37</f>
        <v>-0.36609754159428853</v>
      </c>
      <c r="R39" s="49"/>
      <c r="S39" s="49"/>
      <c r="T39" s="49"/>
      <c r="U39" s="49"/>
      <c r="V39" s="49"/>
      <c r="W39" s="49"/>
      <c r="X39" s="49"/>
      <c r="Y39" s="49"/>
      <c r="Z39" s="49"/>
    </row>
    <row r="40" spans="1:26" ht="28.2">
      <c r="B40" s="161" t="s">
        <v>212</v>
      </c>
      <c r="C40" s="13" t="s">
        <v>209</v>
      </c>
      <c r="D40" s="215">
        <f>D35*(D39/D32)</f>
        <v>-25893.127535575117</v>
      </c>
      <c r="E40" s="13" t="s">
        <v>211</v>
      </c>
      <c r="I40" s="229" t="s">
        <v>230</v>
      </c>
      <c r="J40" s="224">
        <f>J38+J39</f>
        <v>70727</v>
      </c>
      <c r="L40" s="13">
        <f>L39*J40</f>
        <v>25893.168998578836</v>
      </c>
      <c r="M40" s="13">
        <f>M39*(K38+K39)</f>
        <v>-25893.143884184272</v>
      </c>
      <c r="R40" s="49"/>
      <c r="S40" s="49"/>
      <c r="T40" s="49"/>
      <c r="U40" s="49"/>
      <c r="V40" s="49"/>
      <c r="W40" s="49"/>
      <c r="X40" s="49"/>
      <c r="Y40" s="49"/>
      <c r="Z40" s="49"/>
    </row>
    <row r="41" spans="1:26" ht="28.8" thickBot="1">
      <c r="B41" s="161" t="s">
        <v>210</v>
      </c>
      <c r="C41" s="13" t="s">
        <v>209</v>
      </c>
      <c r="D41" s="228">
        <f>D39+D40</f>
        <v>65556.872464424887</v>
      </c>
      <c r="E41" s="227" t="s">
        <v>208</v>
      </c>
      <c r="F41" s="227" t="s">
        <v>229</v>
      </c>
      <c r="R41" s="49"/>
      <c r="S41" s="49"/>
      <c r="T41" s="49"/>
      <c r="U41" s="49"/>
      <c r="V41" s="49"/>
      <c r="W41" s="49"/>
      <c r="X41" s="49"/>
      <c r="Y41" s="49"/>
      <c r="Z41" s="49"/>
    </row>
    <row r="42" spans="1:26" ht="14.4" thickTop="1">
      <c r="B42" s="49"/>
      <c r="C42" s="49"/>
      <c r="D42" s="49"/>
      <c r="E42" s="49"/>
      <c r="F42" s="49"/>
      <c r="G42" s="49"/>
      <c r="H42" s="49"/>
      <c r="K42" s="224"/>
      <c r="R42" s="49"/>
      <c r="S42" s="49"/>
      <c r="T42" s="49"/>
      <c r="U42" s="49"/>
      <c r="V42" s="49"/>
      <c r="W42" s="49"/>
      <c r="X42" s="49"/>
      <c r="Y42" s="49"/>
      <c r="Z42" s="49"/>
    </row>
    <row r="43" spans="1:26">
      <c r="B43" s="13" t="s">
        <v>207</v>
      </c>
      <c r="C43" s="49" t="s">
        <v>206</v>
      </c>
      <c r="D43" s="226">
        <f>4842040/1000</f>
        <v>4842.04</v>
      </c>
      <c r="E43" s="49" t="s">
        <v>205</v>
      </c>
      <c r="F43" s="49"/>
      <c r="G43" s="49"/>
      <c r="H43" s="49"/>
      <c r="J43" s="225"/>
      <c r="K43" s="224"/>
      <c r="R43" s="49"/>
      <c r="S43" s="49"/>
      <c r="T43" s="49"/>
      <c r="U43" s="49"/>
      <c r="V43" s="49"/>
      <c r="W43" s="49"/>
      <c r="X43" s="49"/>
      <c r="Y43" s="49"/>
      <c r="Z43" s="49"/>
    </row>
    <row r="44" spans="1:26" ht="14.4" thickBot="1">
      <c r="R44" s="49"/>
      <c r="S44" s="49"/>
      <c r="T44" s="49"/>
      <c r="U44" s="49"/>
      <c r="V44" s="49"/>
      <c r="W44" s="49"/>
      <c r="X44" s="49"/>
      <c r="Y44" s="49"/>
      <c r="Z44" s="49"/>
    </row>
    <row r="45" spans="1:26" ht="15" thickBot="1">
      <c r="B45" s="13" t="s">
        <v>135</v>
      </c>
      <c r="C45" s="13" t="s">
        <v>97</v>
      </c>
      <c r="D45" s="223">
        <f>D41/(D43*365)</f>
        <v>3.7093429580413964E-2</v>
      </c>
      <c r="E45" s="49" t="s">
        <v>204</v>
      </c>
      <c r="J45" s="218" t="s">
        <v>228</v>
      </c>
      <c r="K45" s="222">
        <v>26038</v>
      </c>
      <c r="R45" s="49"/>
      <c r="S45" s="49"/>
      <c r="T45" s="49"/>
      <c r="U45" s="49"/>
      <c r="V45" s="49"/>
      <c r="W45" s="49"/>
      <c r="X45" s="49"/>
      <c r="Y45" s="49"/>
      <c r="Z45" s="49"/>
    </row>
    <row r="46" spans="1:26">
      <c r="K46" s="49"/>
      <c r="R46" s="49"/>
      <c r="S46" s="49"/>
      <c r="T46" s="49"/>
      <c r="U46" s="49"/>
      <c r="V46" s="49"/>
      <c r="W46" s="49"/>
      <c r="X46" s="49"/>
      <c r="Y46" s="49"/>
      <c r="Z46" s="49"/>
    </row>
    <row r="47" spans="1:26" s="87" customFormat="1"/>
    <row r="48" spans="1:26">
      <c r="A48" s="49"/>
      <c r="B48" s="150" t="s">
        <v>203</v>
      </c>
      <c r="K48" s="49"/>
    </row>
    <row r="49" spans="1:11">
      <c r="A49" s="49"/>
      <c r="B49" s="157"/>
      <c r="J49" s="156" t="s">
        <v>202</v>
      </c>
      <c r="K49" s="49"/>
    </row>
    <row r="50" spans="1:11">
      <c r="A50" s="49"/>
      <c r="B50" s="150" t="s">
        <v>201</v>
      </c>
      <c r="K50" s="49"/>
    </row>
    <row r="51" spans="1:11">
      <c r="A51" s="49"/>
      <c r="K51" s="49"/>
    </row>
    <row r="52" spans="1:11" ht="66">
      <c r="A52" s="49"/>
      <c r="B52" s="149"/>
      <c r="C52" s="148"/>
      <c r="D52" s="148" t="s">
        <v>200</v>
      </c>
      <c r="E52" s="148" t="s">
        <v>199</v>
      </c>
      <c r="F52" s="148" t="s">
        <v>198</v>
      </c>
      <c r="G52" s="148" t="s">
        <v>197</v>
      </c>
      <c r="H52" s="16"/>
      <c r="K52" s="49"/>
    </row>
    <row r="53" spans="1:11">
      <c r="A53" s="49"/>
      <c r="B53" s="149"/>
      <c r="C53" s="148"/>
      <c r="D53" s="148"/>
      <c r="E53" s="148"/>
      <c r="F53" s="148"/>
      <c r="G53" s="148"/>
      <c r="K53" s="49"/>
    </row>
    <row r="54" spans="1:11">
      <c r="A54" s="49"/>
      <c r="B54" s="147" t="s">
        <v>113</v>
      </c>
      <c r="C54" s="147" t="s">
        <v>112</v>
      </c>
      <c r="D54" s="472" t="s">
        <v>196</v>
      </c>
      <c r="E54" s="472"/>
      <c r="F54" s="472"/>
      <c r="G54" s="472"/>
      <c r="H54" s="94"/>
      <c r="J54" s="105" t="s">
        <v>178</v>
      </c>
      <c r="K54" s="49"/>
    </row>
    <row r="55" spans="1:11">
      <c r="A55" s="49"/>
      <c r="B55" s="145" t="s">
        <v>107</v>
      </c>
      <c r="C55" s="145" t="s">
        <v>106</v>
      </c>
      <c r="D55" s="145"/>
      <c r="E55" s="145"/>
      <c r="F55" s="145"/>
      <c r="G55" s="145"/>
      <c r="I55" s="144" t="s">
        <v>177</v>
      </c>
      <c r="J55" s="144" t="s">
        <v>176</v>
      </c>
      <c r="K55" s="49"/>
    </row>
    <row r="56" spans="1:11">
      <c r="A56" s="49"/>
      <c r="B56" s="145"/>
      <c r="C56" s="145"/>
      <c r="D56" s="145"/>
      <c r="E56" s="145"/>
      <c r="F56" s="145"/>
      <c r="G56" s="145"/>
      <c r="I56" s="144"/>
      <c r="J56" s="144"/>
      <c r="K56" s="49"/>
    </row>
    <row r="57" spans="1:11">
      <c r="A57" s="49"/>
      <c r="B57" s="473">
        <v>50</v>
      </c>
      <c r="C57" s="145">
        <v>50</v>
      </c>
      <c r="D57" s="143">
        <v>0</v>
      </c>
      <c r="E57" s="143">
        <v>1</v>
      </c>
      <c r="F57" s="143">
        <v>0</v>
      </c>
      <c r="G57" s="143">
        <v>0</v>
      </c>
      <c r="I57" s="155">
        <f t="shared" ref="I57:I74" si="0">D57*7+E57*2</f>
        <v>2</v>
      </c>
      <c r="J57" s="155">
        <f t="shared" ref="J57:J74" si="1">F57*12.8+G57*13.8</f>
        <v>0</v>
      </c>
      <c r="K57" s="49"/>
    </row>
    <row r="58" spans="1:11">
      <c r="A58" s="49"/>
      <c r="B58" s="473"/>
      <c r="C58" s="145">
        <v>100</v>
      </c>
      <c r="D58" s="143">
        <v>1</v>
      </c>
      <c r="E58" s="143">
        <v>0</v>
      </c>
      <c r="F58" s="143">
        <v>0.06</v>
      </c>
      <c r="G58" s="143">
        <v>0</v>
      </c>
      <c r="I58" s="155">
        <f t="shared" si="0"/>
        <v>7</v>
      </c>
      <c r="J58" s="155">
        <f t="shared" si="1"/>
        <v>0.76800000000000002</v>
      </c>
      <c r="K58" s="49"/>
    </row>
    <row r="59" spans="1:11">
      <c r="A59" s="49"/>
      <c r="B59" s="473"/>
      <c r="C59" s="145">
        <v>150</v>
      </c>
      <c r="D59" s="143">
        <v>1</v>
      </c>
      <c r="E59" s="143">
        <v>0</v>
      </c>
      <c r="F59" s="143">
        <v>0.19</v>
      </c>
      <c r="G59" s="143">
        <v>0</v>
      </c>
      <c r="I59" s="155">
        <f t="shared" si="0"/>
        <v>7</v>
      </c>
      <c r="J59" s="155">
        <f t="shared" si="1"/>
        <v>2.4320000000000004</v>
      </c>
      <c r="K59" s="49"/>
    </row>
    <row r="60" spans="1:11">
      <c r="A60" s="49"/>
      <c r="B60" s="473"/>
      <c r="C60" s="145">
        <v>200</v>
      </c>
      <c r="D60" s="143">
        <v>1</v>
      </c>
      <c r="E60" s="143">
        <v>0</v>
      </c>
      <c r="F60" s="143">
        <v>0.35</v>
      </c>
      <c r="G60" s="143">
        <v>0</v>
      </c>
      <c r="I60" s="155">
        <f t="shared" si="0"/>
        <v>7</v>
      </c>
      <c r="J60" s="155">
        <f t="shared" si="1"/>
        <v>4.4799999999999995</v>
      </c>
      <c r="K60" s="49"/>
    </row>
    <row r="61" spans="1:11">
      <c r="A61" s="49"/>
      <c r="B61" s="473"/>
      <c r="C61" s="145">
        <v>250</v>
      </c>
      <c r="D61" s="143">
        <v>1</v>
      </c>
      <c r="E61" s="143">
        <v>0</v>
      </c>
      <c r="F61" s="143">
        <v>0.61</v>
      </c>
      <c r="G61" s="143">
        <v>0</v>
      </c>
      <c r="I61" s="155">
        <f t="shared" si="0"/>
        <v>7</v>
      </c>
      <c r="J61" s="155">
        <f t="shared" si="1"/>
        <v>7.8079999999999998</v>
      </c>
      <c r="K61" s="49"/>
    </row>
    <row r="62" spans="1:11">
      <c r="A62" s="49"/>
      <c r="B62" s="473"/>
      <c r="C62" s="145">
        <v>300</v>
      </c>
      <c r="D62" s="143">
        <v>1</v>
      </c>
      <c r="E62" s="143">
        <v>0</v>
      </c>
      <c r="F62" s="143">
        <v>1</v>
      </c>
      <c r="G62" s="143">
        <v>0.01</v>
      </c>
      <c r="I62" s="155">
        <f t="shared" si="0"/>
        <v>7</v>
      </c>
      <c r="J62" s="155">
        <f t="shared" si="1"/>
        <v>12.938000000000001</v>
      </c>
      <c r="K62" s="49"/>
    </row>
    <row r="63" spans="1:11">
      <c r="A63" s="49"/>
      <c r="B63" s="473">
        <v>100</v>
      </c>
      <c r="C63" s="145">
        <v>100</v>
      </c>
      <c r="D63" s="143">
        <v>1</v>
      </c>
      <c r="E63" s="143">
        <v>0</v>
      </c>
      <c r="F63" s="143">
        <v>0.06</v>
      </c>
      <c r="G63" s="143">
        <v>0</v>
      </c>
      <c r="I63" s="155">
        <f t="shared" si="0"/>
        <v>7</v>
      </c>
      <c r="J63" s="155">
        <f t="shared" si="1"/>
        <v>0.76800000000000002</v>
      </c>
      <c r="K63" s="49"/>
    </row>
    <row r="64" spans="1:11">
      <c r="A64" s="49"/>
      <c r="B64" s="473"/>
      <c r="C64" s="145">
        <v>150</v>
      </c>
      <c r="D64" s="143">
        <v>1</v>
      </c>
      <c r="E64" s="143">
        <v>0</v>
      </c>
      <c r="F64" s="143">
        <v>0.2</v>
      </c>
      <c r="G64" s="143">
        <v>0</v>
      </c>
      <c r="I64" s="155">
        <f t="shared" si="0"/>
        <v>7</v>
      </c>
      <c r="J64" s="155">
        <f t="shared" si="1"/>
        <v>2.5600000000000005</v>
      </c>
      <c r="K64" s="49"/>
    </row>
    <row r="65" spans="1:11">
      <c r="A65" s="49"/>
      <c r="B65" s="473"/>
      <c r="C65" s="145">
        <v>200</v>
      </c>
      <c r="D65" s="143">
        <v>1</v>
      </c>
      <c r="E65" s="143">
        <v>0</v>
      </c>
      <c r="F65" s="143">
        <v>0.4</v>
      </c>
      <c r="G65" s="143">
        <v>0</v>
      </c>
      <c r="I65" s="155">
        <f t="shared" si="0"/>
        <v>7</v>
      </c>
      <c r="J65" s="155">
        <f t="shared" si="1"/>
        <v>5.120000000000001</v>
      </c>
      <c r="K65" s="49"/>
    </row>
    <row r="66" spans="1:11">
      <c r="A66" s="49"/>
      <c r="B66" s="473"/>
      <c r="C66" s="145">
        <v>250</v>
      </c>
      <c r="D66" s="143">
        <v>1</v>
      </c>
      <c r="E66" s="143">
        <v>0</v>
      </c>
      <c r="F66" s="143">
        <v>0.78</v>
      </c>
      <c r="G66" s="143">
        <v>0</v>
      </c>
      <c r="I66" s="155">
        <f t="shared" si="0"/>
        <v>7</v>
      </c>
      <c r="J66" s="155">
        <f t="shared" si="1"/>
        <v>9.9840000000000018</v>
      </c>
      <c r="K66" s="49"/>
    </row>
    <row r="67" spans="1:11">
      <c r="A67" s="49"/>
      <c r="B67" s="473"/>
      <c r="C67" s="145">
        <v>300</v>
      </c>
      <c r="D67" s="143">
        <v>1</v>
      </c>
      <c r="E67" s="143">
        <v>0</v>
      </c>
      <c r="F67" s="143">
        <v>1</v>
      </c>
      <c r="G67" s="143">
        <v>0.05</v>
      </c>
      <c r="I67" s="155">
        <f t="shared" si="0"/>
        <v>7</v>
      </c>
      <c r="J67" s="155">
        <f t="shared" si="1"/>
        <v>13.49</v>
      </c>
      <c r="K67" s="49"/>
    </row>
    <row r="68" spans="1:11">
      <c r="A68" s="49"/>
      <c r="B68" s="473">
        <v>150</v>
      </c>
      <c r="C68" s="145">
        <v>150</v>
      </c>
      <c r="D68" s="143">
        <v>1</v>
      </c>
      <c r="E68" s="143">
        <v>0</v>
      </c>
      <c r="F68" s="143">
        <v>0.2</v>
      </c>
      <c r="G68" s="143">
        <v>0</v>
      </c>
      <c r="I68" s="155">
        <f t="shared" si="0"/>
        <v>7</v>
      </c>
      <c r="J68" s="155">
        <f t="shared" si="1"/>
        <v>2.5600000000000005</v>
      </c>
      <c r="K68" s="49"/>
    </row>
    <row r="69" spans="1:11">
      <c r="A69" s="49"/>
      <c r="B69" s="473"/>
      <c r="C69" s="145">
        <v>200</v>
      </c>
      <c r="D69" s="143">
        <v>1</v>
      </c>
      <c r="E69" s="143">
        <v>0</v>
      </c>
      <c r="F69" s="143">
        <v>0.4</v>
      </c>
      <c r="G69" s="143">
        <v>0</v>
      </c>
      <c r="I69" s="155">
        <f t="shared" si="0"/>
        <v>7</v>
      </c>
      <c r="J69" s="155">
        <f t="shared" si="1"/>
        <v>5.120000000000001</v>
      </c>
      <c r="K69" s="49"/>
    </row>
    <row r="70" spans="1:11">
      <c r="A70" s="49"/>
      <c r="B70" s="473"/>
      <c r="C70" s="145">
        <v>250</v>
      </c>
      <c r="D70" s="143">
        <v>1</v>
      </c>
      <c r="E70" s="143">
        <v>0</v>
      </c>
      <c r="F70" s="143">
        <v>0.82</v>
      </c>
      <c r="G70" s="143">
        <v>0</v>
      </c>
      <c r="I70" s="155">
        <f t="shared" si="0"/>
        <v>7</v>
      </c>
      <c r="J70" s="155">
        <f t="shared" si="1"/>
        <v>10.496</v>
      </c>
      <c r="K70" s="49"/>
    </row>
    <row r="71" spans="1:11">
      <c r="A71" s="49"/>
      <c r="B71" s="473"/>
      <c r="C71" s="145">
        <v>300</v>
      </c>
      <c r="D71" s="143">
        <v>1</v>
      </c>
      <c r="E71" s="143">
        <v>0</v>
      </c>
      <c r="F71" s="143">
        <v>1</v>
      </c>
      <c r="G71" s="143">
        <v>0.06</v>
      </c>
      <c r="I71" s="155">
        <f t="shared" si="0"/>
        <v>7</v>
      </c>
      <c r="J71" s="155">
        <f t="shared" si="1"/>
        <v>13.628</v>
      </c>
      <c r="K71" s="49"/>
    </row>
    <row r="72" spans="1:11">
      <c r="A72" s="49"/>
      <c r="B72" s="473">
        <v>200</v>
      </c>
      <c r="C72" s="145">
        <v>200</v>
      </c>
      <c r="D72" s="143">
        <v>1</v>
      </c>
      <c r="E72" s="143">
        <v>0</v>
      </c>
      <c r="F72" s="143">
        <v>0.4</v>
      </c>
      <c r="G72" s="143">
        <v>0</v>
      </c>
      <c r="I72" s="155">
        <f t="shared" si="0"/>
        <v>7</v>
      </c>
      <c r="J72" s="155">
        <f t="shared" si="1"/>
        <v>5.120000000000001</v>
      </c>
      <c r="K72" s="49"/>
    </row>
    <row r="73" spans="1:11">
      <c r="A73" s="49"/>
      <c r="B73" s="473"/>
      <c r="C73" s="145">
        <v>250</v>
      </c>
      <c r="D73" s="143">
        <v>1</v>
      </c>
      <c r="E73" s="143">
        <v>0</v>
      </c>
      <c r="F73" s="143">
        <v>0.82</v>
      </c>
      <c r="G73" s="143">
        <v>0</v>
      </c>
      <c r="I73" s="155">
        <f t="shared" si="0"/>
        <v>7</v>
      </c>
      <c r="J73" s="155">
        <f t="shared" si="1"/>
        <v>10.496</v>
      </c>
      <c r="K73" s="49"/>
    </row>
    <row r="74" spans="1:11">
      <c r="A74" s="49"/>
      <c r="B74" s="473"/>
      <c r="C74" s="145">
        <v>300</v>
      </c>
      <c r="D74" s="143">
        <v>1</v>
      </c>
      <c r="E74" s="143">
        <v>0</v>
      </c>
      <c r="F74" s="143">
        <v>1</v>
      </c>
      <c r="G74" s="143">
        <v>7.0000000000000007E-2</v>
      </c>
      <c r="I74" s="155">
        <f t="shared" si="0"/>
        <v>7</v>
      </c>
      <c r="J74" s="155">
        <f t="shared" si="1"/>
        <v>13.766000000000002</v>
      </c>
      <c r="K74" s="49"/>
    </row>
    <row r="75" spans="1:11">
      <c r="A75" s="49"/>
      <c r="B75" s="49"/>
      <c r="C75" s="49"/>
      <c r="D75" s="49"/>
      <c r="E75" s="49"/>
      <c r="F75" s="49"/>
      <c r="G75" s="49"/>
      <c r="K75" s="49"/>
    </row>
    <row r="76" spans="1:11">
      <c r="A76" s="49"/>
      <c r="B76" s="150" t="s">
        <v>195</v>
      </c>
      <c r="I76" s="49"/>
      <c r="J76" s="49"/>
      <c r="K76" s="49"/>
    </row>
    <row r="77" spans="1:11">
      <c r="A77" s="49"/>
      <c r="B77" s="150"/>
      <c r="K77" s="49"/>
    </row>
    <row r="78" spans="1:11">
      <c r="A78" s="49"/>
      <c r="B78" s="145" t="s">
        <v>194</v>
      </c>
      <c r="C78" s="154" t="s">
        <v>193</v>
      </c>
      <c r="D78" s="154" t="s">
        <v>192</v>
      </c>
      <c r="E78" s="154" t="s">
        <v>191</v>
      </c>
      <c r="F78" s="144" t="s">
        <v>190</v>
      </c>
      <c r="K78" s="49"/>
    </row>
    <row r="79" spans="1:11">
      <c r="A79" s="49"/>
      <c r="B79" s="145" t="s">
        <v>107</v>
      </c>
      <c r="C79" s="16"/>
      <c r="D79" s="16"/>
      <c r="E79" s="16"/>
      <c r="F79" s="153" t="s">
        <v>189</v>
      </c>
      <c r="K79" s="49"/>
    </row>
    <row r="80" spans="1:11">
      <c r="A80" s="49"/>
      <c r="B80" s="145"/>
      <c r="C80" s="16"/>
      <c r="D80" s="16"/>
      <c r="E80" s="16"/>
      <c r="F80" s="48"/>
      <c r="K80" s="49"/>
    </row>
    <row r="81" spans="1:11">
      <c r="A81" s="49"/>
      <c r="B81" s="145">
        <v>50</v>
      </c>
      <c r="C81" s="145">
        <v>24</v>
      </c>
      <c r="D81" s="145" t="s">
        <v>186</v>
      </c>
      <c r="E81" s="145" t="s">
        <v>185</v>
      </c>
      <c r="F81" s="145">
        <v>20.100000000000001</v>
      </c>
      <c r="K81" s="49"/>
    </row>
    <row r="82" spans="1:11">
      <c r="A82" s="49"/>
      <c r="B82" s="145"/>
      <c r="C82" s="145">
        <v>36</v>
      </c>
      <c r="D82" s="145" t="s">
        <v>183</v>
      </c>
      <c r="E82" s="145" t="s">
        <v>188</v>
      </c>
      <c r="F82" s="145">
        <v>25.3</v>
      </c>
      <c r="K82" s="49"/>
    </row>
    <row r="83" spans="1:11" ht="14.4" thickBot="1">
      <c r="A83" s="49"/>
      <c r="B83" s="145"/>
      <c r="C83" s="145"/>
      <c r="D83" s="145"/>
      <c r="E83" s="145"/>
      <c r="F83" s="152">
        <f>F82+F81</f>
        <v>45.400000000000006</v>
      </c>
      <c r="K83" s="49"/>
    </row>
    <row r="84" spans="1:11">
      <c r="A84" s="49"/>
      <c r="B84" s="145"/>
      <c r="C84" s="145"/>
      <c r="D84" s="145"/>
      <c r="E84" s="145"/>
      <c r="F84" s="145"/>
      <c r="K84" s="49"/>
    </row>
    <row r="85" spans="1:11">
      <c r="A85" s="49"/>
      <c r="B85" s="145">
        <v>100</v>
      </c>
      <c r="C85" s="145">
        <v>24</v>
      </c>
      <c r="D85" s="145" t="s">
        <v>186</v>
      </c>
      <c r="E85" s="145" t="s">
        <v>185</v>
      </c>
      <c r="F85" s="145">
        <v>20.100000000000001</v>
      </c>
      <c r="K85" s="49"/>
    </row>
    <row r="86" spans="1:11">
      <c r="A86" s="49"/>
      <c r="B86" s="145"/>
      <c r="C86" s="145">
        <v>36</v>
      </c>
      <c r="D86" s="145" t="s">
        <v>183</v>
      </c>
      <c r="E86" s="145" t="s">
        <v>188</v>
      </c>
      <c r="F86" s="145">
        <v>25.3</v>
      </c>
      <c r="K86" s="49"/>
    </row>
    <row r="87" spans="1:11">
      <c r="A87" s="49"/>
      <c r="B87" s="145"/>
      <c r="C87" s="145">
        <v>36</v>
      </c>
      <c r="D87" s="145" t="s">
        <v>187</v>
      </c>
      <c r="E87" s="145" t="s">
        <v>182</v>
      </c>
      <c r="F87" s="145">
        <v>32.799999999999997</v>
      </c>
      <c r="K87" s="49"/>
    </row>
    <row r="88" spans="1:11" ht="14.4" thickBot="1">
      <c r="A88" s="49"/>
      <c r="B88" s="145"/>
      <c r="C88" s="145"/>
      <c r="D88" s="145"/>
      <c r="E88" s="145"/>
      <c r="F88" s="152">
        <f>SUM(F85:F87)</f>
        <v>78.2</v>
      </c>
      <c r="K88" s="49"/>
    </row>
    <row r="89" spans="1:11">
      <c r="A89" s="49"/>
      <c r="B89" s="145"/>
      <c r="C89" s="145"/>
      <c r="D89" s="145"/>
      <c r="E89" s="145"/>
      <c r="F89" s="145"/>
      <c r="K89" s="49"/>
    </row>
    <row r="90" spans="1:11">
      <c r="A90" s="49"/>
      <c r="B90" s="145">
        <v>150</v>
      </c>
      <c r="C90" s="145">
        <v>36</v>
      </c>
      <c r="D90" s="145" t="s">
        <v>186</v>
      </c>
      <c r="E90" s="145" t="s">
        <v>185</v>
      </c>
      <c r="F90" s="145">
        <v>20.100000000000001</v>
      </c>
      <c r="K90" s="49"/>
    </row>
    <row r="91" spans="1:11">
      <c r="A91" s="49"/>
      <c r="B91" s="145"/>
      <c r="C91" s="145">
        <v>36</v>
      </c>
      <c r="D91" s="145" t="s">
        <v>183</v>
      </c>
      <c r="E91" s="145" t="s">
        <v>184</v>
      </c>
      <c r="F91" s="145">
        <v>103.3</v>
      </c>
      <c r="K91" s="49"/>
    </row>
    <row r="92" spans="1:11" ht="14.4" thickBot="1">
      <c r="A92" s="49"/>
      <c r="B92" s="145"/>
      <c r="C92" s="145"/>
      <c r="D92" s="145"/>
      <c r="E92" s="145"/>
      <c r="F92" s="152">
        <f>F91+F90</f>
        <v>123.4</v>
      </c>
      <c r="K92" s="49"/>
    </row>
    <row r="93" spans="1:11">
      <c r="A93" s="49"/>
      <c r="B93" s="145"/>
      <c r="C93" s="145"/>
      <c r="D93" s="145"/>
      <c r="E93" s="145"/>
      <c r="F93" s="145"/>
      <c r="K93" s="49"/>
    </row>
    <row r="94" spans="1:11">
      <c r="A94" s="49"/>
      <c r="B94" s="145">
        <v>200</v>
      </c>
      <c r="C94" s="145">
        <v>42</v>
      </c>
      <c r="D94" s="145" t="s">
        <v>186</v>
      </c>
      <c r="E94" s="145" t="s">
        <v>185</v>
      </c>
      <c r="F94" s="145">
        <v>20.100000000000001</v>
      </c>
      <c r="K94" s="49"/>
    </row>
    <row r="95" spans="1:11">
      <c r="A95" s="49"/>
      <c r="B95" s="16"/>
      <c r="C95" s="145">
        <v>42</v>
      </c>
      <c r="D95" s="145" t="s">
        <v>182</v>
      </c>
      <c r="E95" s="145" t="s">
        <v>184</v>
      </c>
      <c r="F95" s="145">
        <v>32.700000000000003</v>
      </c>
      <c r="K95" s="49"/>
    </row>
    <row r="96" spans="1:11">
      <c r="A96" s="49"/>
      <c r="C96" s="145">
        <v>48</v>
      </c>
      <c r="D96" s="145" t="s">
        <v>183</v>
      </c>
      <c r="E96" s="145" t="s">
        <v>182</v>
      </c>
      <c r="F96" s="145">
        <v>70.7</v>
      </c>
      <c r="K96" s="49"/>
    </row>
    <row r="97" spans="1:11" ht="14.4" thickBot="1">
      <c r="A97" s="49"/>
      <c r="F97" s="152">
        <f>F96+F95+F94</f>
        <v>123.5</v>
      </c>
      <c r="K97" s="49"/>
    </row>
    <row r="98" spans="1:11">
      <c r="A98" s="49"/>
      <c r="K98" s="49"/>
    </row>
    <row r="99" spans="1:11">
      <c r="A99" s="49"/>
      <c r="B99" s="151"/>
      <c r="C99" s="151"/>
      <c r="D99" s="151"/>
      <c r="E99" s="151"/>
      <c r="F99" s="151"/>
      <c r="G99" s="151"/>
      <c r="H99" s="151"/>
      <c r="K99" s="49"/>
    </row>
    <row r="100" spans="1:11">
      <c r="A100" s="49"/>
      <c r="I100" s="16"/>
      <c r="J100" s="16"/>
      <c r="K100" s="49"/>
    </row>
    <row r="101" spans="1:11">
      <c r="A101" s="49"/>
      <c r="B101" s="150" t="s">
        <v>181</v>
      </c>
      <c r="I101" s="16"/>
      <c r="J101" s="16"/>
      <c r="K101" s="49"/>
    </row>
    <row r="102" spans="1:11">
      <c r="A102" s="49"/>
      <c r="B102" s="150"/>
      <c r="K102" s="49"/>
    </row>
    <row r="103" spans="1:11" ht="52.8">
      <c r="A103" s="49"/>
      <c r="B103" s="149"/>
      <c r="C103" s="148"/>
      <c r="D103" s="148" t="s">
        <v>180</v>
      </c>
      <c r="E103" s="145" t="s">
        <v>179</v>
      </c>
      <c r="G103" s="105" t="s">
        <v>178</v>
      </c>
      <c r="H103" s="16"/>
      <c r="K103" s="49"/>
    </row>
    <row r="104" spans="1:11">
      <c r="A104" s="49"/>
      <c r="B104" s="147" t="s">
        <v>113</v>
      </c>
      <c r="C104" s="147" t="s">
        <v>112</v>
      </c>
      <c r="D104" s="146"/>
      <c r="E104" s="146"/>
      <c r="F104" s="144" t="s">
        <v>177</v>
      </c>
      <c r="G104" s="144" t="s">
        <v>176</v>
      </c>
      <c r="H104" s="94"/>
      <c r="K104" s="49"/>
    </row>
    <row r="105" spans="1:11">
      <c r="A105" s="49"/>
      <c r="B105" s="145" t="s">
        <v>107</v>
      </c>
      <c r="C105" s="145" t="s">
        <v>106</v>
      </c>
      <c r="D105" s="145"/>
      <c r="F105" s="144"/>
      <c r="G105" s="144"/>
      <c r="K105" s="49"/>
    </row>
    <row r="106" spans="1:11">
      <c r="A106" s="49"/>
      <c r="K106" s="49"/>
    </row>
    <row r="107" spans="1:11">
      <c r="A107" s="49"/>
      <c r="B107" s="13">
        <v>50</v>
      </c>
      <c r="D107" s="143">
        <v>1</v>
      </c>
      <c r="F107" s="105">
        <f>D107*1+E107*6</f>
        <v>1</v>
      </c>
      <c r="G107" s="142">
        <v>0</v>
      </c>
      <c r="K107" s="49"/>
    </row>
    <row r="108" spans="1:11">
      <c r="A108" s="49"/>
      <c r="B108" s="13">
        <v>100</v>
      </c>
      <c r="D108" s="143">
        <v>1</v>
      </c>
      <c r="F108" s="105">
        <f>D108*1+E108*6</f>
        <v>1</v>
      </c>
      <c r="G108" s="142">
        <v>0</v>
      </c>
      <c r="K108" s="49"/>
    </row>
    <row r="109" spans="1:11">
      <c r="A109" s="49"/>
      <c r="D109" s="143"/>
      <c r="F109" s="105"/>
      <c r="G109" s="142"/>
      <c r="K109" s="49"/>
    </row>
    <row r="110" spans="1:11">
      <c r="A110" s="49"/>
      <c r="B110" s="13">
        <v>150</v>
      </c>
      <c r="E110" s="143">
        <v>1</v>
      </c>
      <c r="F110" s="105">
        <f>D110*1+E110*6</f>
        <v>6</v>
      </c>
      <c r="G110" s="142">
        <v>0</v>
      </c>
      <c r="K110" s="49"/>
    </row>
    <row r="111" spans="1:11">
      <c r="A111" s="49"/>
      <c r="B111" s="13">
        <v>200</v>
      </c>
      <c r="E111" s="143">
        <v>1</v>
      </c>
      <c r="F111" s="105">
        <f>D111*1+E111*6</f>
        <v>6</v>
      </c>
      <c r="G111" s="142">
        <v>0</v>
      </c>
      <c r="K111" s="49"/>
    </row>
    <row r="112" spans="1:11">
      <c r="A112" s="49"/>
      <c r="K112" s="49"/>
    </row>
    <row r="113" spans="1:28" s="87" customFormat="1"/>
    <row r="114" spans="1:28">
      <c r="A114" s="49"/>
      <c r="K114" s="49"/>
      <c r="T114" s="49"/>
      <c r="U114" s="49"/>
      <c r="V114" s="49"/>
      <c r="W114" s="49"/>
      <c r="X114" s="49"/>
      <c r="Y114" s="49"/>
      <c r="Z114" s="49"/>
      <c r="AA114" s="49"/>
      <c r="AB114" s="49"/>
    </row>
    <row r="115" spans="1:28">
      <c r="A115" s="49"/>
      <c r="K115" s="49"/>
      <c r="T115" s="49"/>
      <c r="U115" s="49"/>
      <c r="V115" s="49"/>
      <c r="W115" s="49"/>
      <c r="X115" s="49"/>
      <c r="Y115" s="49"/>
      <c r="Z115" s="49"/>
      <c r="AA115" s="49"/>
      <c r="AB115" s="49"/>
    </row>
    <row r="116" spans="1:28">
      <c r="A116" s="49"/>
      <c r="K116" s="125" t="s">
        <v>175</v>
      </c>
      <c r="T116" s="49"/>
      <c r="U116" s="49"/>
      <c r="V116" s="49"/>
      <c r="W116" s="49"/>
      <c r="X116" s="49"/>
      <c r="Y116" s="49"/>
      <c r="Z116" s="49"/>
      <c r="AA116" s="49"/>
      <c r="AB116" s="49"/>
    </row>
    <row r="117" spans="1:28">
      <c r="A117" s="49"/>
      <c r="B117" s="124" t="s">
        <v>174</v>
      </c>
      <c r="K117" s="49"/>
      <c r="T117" s="49"/>
      <c r="U117" s="49"/>
      <c r="V117" s="49"/>
      <c r="W117" s="49"/>
      <c r="X117" s="49"/>
      <c r="Y117" s="49"/>
      <c r="Z117" s="49"/>
      <c r="AA117" s="49"/>
      <c r="AB117" s="49"/>
    </row>
    <row r="118" spans="1:28">
      <c r="A118" s="49"/>
      <c r="B118" s="43"/>
      <c r="K118" s="49"/>
      <c r="T118" s="49"/>
      <c r="U118" s="49"/>
      <c r="V118" s="49"/>
      <c r="W118" s="49"/>
      <c r="X118" s="49"/>
      <c r="Y118" s="49"/>
      <c r="Z118" s="49"/>
      <c r="AA118" s="49"/>
      <c r="AB118" s="49"/>
    </row>
    <row r="119" spans="1:28">
      <c r="A119" s="49"/>
      <c r="B119" s="129" t="s">
        <v>173</v>
      </c>
      <c r="C119" s="94"/>
      <c r="D119" s="94"/>
      <c r="E119" s="94"/>
      <c r="K119" s="49"/>
      <c r="T119" s="49"/>
      <c r="U119" s="49"/>
      <c r="V119" s="49"/>
      <c r="W119" s="49"/>
      <c r="X119" s="49"/>
      <c r="Y119" s="49"/>
      <c r="Z119" s="49"/>
      <c r="AA119" s="49"/>
      <c r="AB119" s="49"/>
    </row>
    <row r="120" spans="1:28" ht="14.4">
      <c r="A120" s="49"/>
      <c r="B120" s="94" t="s">
        <v>172</v>
      </c>
      <c r="C120" s="94"/>
      <c r="D120" s="221">
        <f>D15</f>
        <v>14101.476000000001</v>
      </c>
      <c r="E120" s="141" t="s">
        <v>171</v>
      </c>
      <c r="K120" s="49"/>
      <c r="T120" s="49"/>
      <c r="U120" s="49"/>
      <c r="V120" s="49"/>
      <c r="W120" s="49"/>
      <c r="X120" s="49"/>
      <c r="Y120" s="49"/>
      <c r="Z120" s="49"/>
      <c r="AA120" s="49"/>
      <c r="AB120" s="49"/>
    </row>
    <row r="121" spans="1:28" ht="14.4">
      <c r="A121" s="49"/>
      <c r="B121" s="94" t="s">
        <v>170</v>
      </c>
      <c r="C121" s="94"/>
      <c r="D121" s="221">
        <f>D16</f>
        <v>146</v>
      </c>
      <c r="E121" s="141" t="s">
        <v>169</v>
      </c>
      <c r="T121" s="49"/>
      <c r="U121" s="49"/>
      <c r="V121" s="49"/>
      <c r="W121" s="49"/>
      <c r="X121" s="49"/>
      <c r="Y121" s="49"/>
      <c r="Z121" s="49"/>
      <c r="AA121" s="49"/>
      <c r="AB121" s="49"/>
    </row>
    <row r="122" spans="1:28" ht="14.4">
      <c r="A122" s="49"/>
      <c r="B122" s="94" t="s">
        <v>168</v>
      </c>
      <c r="C122" s="94"/>
      <c r="D122" s="221">
        <f>D17</f>
        <v>2337</v>
      </c>
      <c r="E122" s="141" t="s">
        <v>103</v>
      </c>
      <c r="T122" s="49"/>
      <c r="U122" s="49"/>
      <c r="V122" s="49"/>
      <c r="W122" s="49"/>
      <c r="X122" s="49"/>
      <c r="Y122" s="49"/>
      <c r="Z122" s="49"/>
      <c r="AA122" s="49"/>
      <c r="AB122" s="49"/>
    </row>
    <row r="123" spans="1:28" ht="14.4">
      <c r="A123" s="49"/>
      <c r="B123" s="94" t="s">
        <v>167</v>
      </c>
      <c r="C123" s="94"/>
      <c r="D123" s="221">
        <f>D18</f>
        <v>27095983</v>
      </c>
      <c r="E123" s="141" t="s">
        <v>166</v>
      </c>
      <c r="T123" s="49"/>
      <c r="U123" s="49"/>
      <c r="V123" s="49"/>
      <c r="W123" s="49"/>
      <c r="X123" s="49"/>
      <c r="Y123" s="49"/>
      <c r="Z123" s="49"/>
      <c r="AA123" s="49"/>
      <c r="AB123" s="49"/>
    </row>
    <row r="124" spans="1:28">
      <c r="A124" s="49"/>
      <c r="B124" s="94"/>
      <c r="C124" s="94"/>
      <c r="D124" s="107"/>
      <c r="E124" s="141"/>
      <c r="T124" s="49"/>
      <c r="U124" s="49"/>
      <c r="V124" s="49"/>
      <c r="W124" s="49"/>
      <c r="X124" s="49"/>
      <c r="Y124" s="49"/>
      <c r="Z124" s="49"/>
      <c r="AA124" s="49"/>
      <c r="AB124" s="49"/>
    </row>
    <row r="125" spans="1:28">
      <c r="A125" s="49"/>
      <c r="B125" s="94"/>
      <c r="C125" s="94"/>
      <c r="D125" s="107"/>
      <c r="E125" s="141"/>
      <c r="T125" s="49"/>
      <c r="U125" s="49"/>
      <c r="V125" s="49"/>
      <c r="W125" s="49"/>
      <c r="X125" s="49"/>
      <c r="Y125" s="49"/>
      <c r="Z125" s="49"/>
      <c r="AA125" s="49"/>
      <c r="AB125" s="49"/>
    </row>
    <row r="126" spans="1:28">
      <c r="A126" s="49"/>
      <c r="B126" s="129" t="s">
        <v>165</v>
      </c>
      <c r="C126" s="94"/>
      <c r="D126" s="107"/>
      <c r="E126" s="141"/>
      <c r="T126" s="49"/>
      <c r="U126" s="49"/>
      <c r="V126" s="49"/>
      <c r="W126" s="49"/>
      <c r="X126" s="49"/>
      <c r="Y126" s="49"/>
      <c r="Z126" s="49"/>
      <c r="AA126" s="49"/>
      <c r="AB126" s="49"/>
    </row>
    <row r="127" spans="1:28" ht="14.4">
      <c r="A127" s="49"/>
      <c r="B127" s="139" t="s">
        <v>164</v>
      </c>
      <c r="C127" s="139"/>
      <c r="D127" s="216">
        <v>933173724</v>
      </c>
      <c r="E127" s="137" t="s">
        <v>163</v>
      </c>
      <c r="F127" s="220" t="s">
        <v>228</v>
      </c>
      <c r="I127" s="219">
        <v>931109202</v>
      </c>
      <c r="J127" s="218" t="s">
        <v>227</v>
      </c>
      <c r="K127" s="217"/>
      <c r="T127" s="49"/>
      <c r="U127" s="49"/>
      <c r="V127" s="49"/>
      <c r="W127" s="49"/>
      <c r="X127" s="49"/>
      <c r="Y127" s="49"/>
      <c r="Z127" s="49"/>
      <c r="AA127" s="49"/>
      <c r="AB127" s="49"/>
    </row>
    <row r="128" spans="1:28">
      <c r="A128" s="49"/>
      <c r="B128" s="139"/>
      <c r="C128" s="139"/>
      <c r="D128" s="139"/>
      <c r="E128" s="140"/>
      <c r="F128" s="49"/>
      <c r="T128" s="49"/>
      <c r="U128" s="49"/>
      <c r="V128" s="49"/>
      <c r="W128" s="49"/>
      <c r="X128" s="49"/>
      <c r="Y128" s="49"/>
      <c r="Z128" s="49"/>
      <c r="AA128" s="49"/>
      <c r="AB128" s="49"/>
    </row>
    <row r="129" spans="1:28">
      <c r="A129" s="49"/>
      <c r="B129" s="139" t="s">
        <v>162</v>
      </c>
      <c r="C129" s="139"/>
      <c r="D129" s="216">
        <v>5171632000</v>
      </c>
      <c r="E129" s="137" t="s">
        <v>161</v>
      </c>
      <c r="T129" s="49"/>
      <c r="U129" s="49"/>
      <c r="V129" s="49"/>
      <c r="W129" s="49"/>
      <c r="X129" s="49"/>
      <c r="Y129" s="49"/>
      <c r="Z129" s="49"/>
      <c r="AA129" s="49"/>
      <c r="AB129" s="49"/>
    </row>
    <row r="130" spans="1:28">
      <c r="A130" s="49"/>
      <c r="B130" s="139"/>
      <c r="C130" s="139"/>
      <c r="D130" s="138"/>
      <c r="E130" s="137"/>
      <c r="F130" s="49"/>
      <c r="T130" s="49"/>
      <c r="U130" s="49"/>
      <c r="V130" s="49"/>
      <c r="W130" s="49"/>
      <c r="X130" s="49"/>
      <c r="Y130" s="49"/>
      <c r="Z130" s="49"/>
      <c r="AA130" s="49"/>
      <c r="AB130" s="49"/>
    </row>
    <row r="131" spans="1:28">
      <c r="A131" s="49"/>
      <c r="B131" s="94"/>
      <c r="C131" s="94"/>
      <c r="D131" s="136"/>
      <c r="E131" s="102"/>
      <c r="T131" s="49"/>
      <c r="U131" s="49"/>
      <c r="V131" s="49"/>
      <c r="W131" s="49"/>
      <c r="X131" s="49"/>
      <c r="Y131" s="49"/>
      <c r="Z131" s="49"/>
      <c r="AA131" s="49"/>
      <c r="AB131" s="49"/>
    </row>
    <row r="132" spans="1:28">
      <c r="A132" s="49"/>
      <c r="B132" s="94"/>
      <c r="C132" s="94"/>
      <c r="D132" s="105" t="s">
        <v>160</v>
      </c>
      <c r="E132" s="102"/>
      <c r="F132" s="135" t="s">
        <v>159</v>
      </c>
      <c r="T132" s="49"/>
      <c r="U132" s="49"/>
      <c r="V132" s="49"/>
      <c r="W132" s="49"/>
      <c r="X132" s="49"/>
      <c r="Y132" s="49"/>
      <c r="Z132" s="49"/>
      <c r="AA132" s="49"/>
      <c r="AB132" s="49"/>
    </row>
    <row r="133" spans="1:28">
      <c r="A133" s="49"/>
      <c r="B133" s="94"/>
      <c r="C133" s="94"/>
      <c r="D133" s="110" t="s">
        <v>158</v>
      </c>
      <c r="E133" s="102"/>
      <c r="F133" s="110" t="s">
        <v>157</v>
      </c>
      <c r="T133" s="49"/>
      <c r="U133" s="49"/>
      <c r="V133" s="49"/>
      <c r="W133" s="49"/>
      <c r="X133" s="49"/>
      <c r="Y133" s="49"/>
      <c r="Z133" s="49"/>
      <c r="AA133" s="49"/>
      <c r="AB133" s="49"/>
    </row>
    <row r="134" spans="1:28" ht="14.4">
      <c r="A134" s="49"/>
      <c r="B134" s="94" t="s">
        <v>156</v>
      </c>
      <c r="C134" s="94"/>
      <c r="D134" s="216">
        <v>3613942000</v>
      </c>
      <c r="E134" s="102" t="s">
        <v>155</v>
      </c>
      <c r="F134" s="215">
        <f>D134/$D$129*$D$127</f>
        <v>652102801.29367435</v>
      </c>
      <c r="G134" s="102" t="str">
        <f>"K = ("&amp;E134&amp;"/F) x E"</f>
        <v>K = (G/F) x E</v>
      </c>
      <c r="T134" s="49"/>
      <c r="U134" s="49"/>
      <c r="V134" s="49"/>
      <c r="W134" s="49"/>
      <c r="X134" s="49"/>
      <c r="Y134" s="49"/>
      <c r="Z134" s="49"/>
      <c r="AA134" s="49"/>
      <c r="AB134" s="49"/>
    </row>
    <row r="135" spans="1:28" ht="14.4">
      <c r="A135" s="49"/>
      <c r="B135" s="94" t="s">
        <v>154</v>
      </c>
      <c r="C135" s="94"/>
      <c r="D135" s="216">
        <v>131502000</v>
      </c>
      <c r="E135" s="102" t="s">
        <v>153</v>
      </c>
      <c r="F135" s="215">
        <f>D135/$D$129*$D$127</f>
        <v>23728333.928912189</v>
      </c>
      <c r="G135" s="102" t="str">
        <f>"L = ("&amp;E135&amp;"/F) x E"</f>
        <v>L = (H/F) x E</v>
      </c>
      <c r="T135" s="49"/>
      <c r="U135" s="49"/>
      <c r="V135" s="49"/>
      <c r="W135" s="49"/>
      <c r="X135" s="49"/>
      <c r="Y135" s="49"/>
      <c r="Z135" s="49"/>
      <c r="AA135" s="49"/>
      <c r="AB135" s="49"/>
    </row>
    <row r="136" spans="1:28" ht="14.4">
      <c r="A136" s="49"/>
      <c r="B136" s="94" t="s">
        <v>152</v>
      </c>
      <c r="C136" s="94"/>
      <c r="D136" s="216">
        <v>1288710000</v>
      </c>
      <c r="E136" s="102" t="s">
        <v>151</v>
      </c>
      <c r="F136" s="215">
        <f>D136/$D$129*$D$127</f>
        <v>232535940.27108657</v>
      </c>
      <c r="G136" s="102" t="str">
        <f>"M = ("&amp;E136&amp;"/F) x E"</f>
        <v>M = (I/F) x E</v>
      </c>
      <c r="T136" s="49"/>
      <c r="U136" s="49"/>
      <c r="V136" s="49"/>
      <c r="W136" s="49"/>
      <c r="X136" s="49"/>
      <c r="Y136" s="49"/>
      <c r="Z136" s="49"/>
      <c r="AA136" s="49"/>
      <c r="AB136" s="49"/>
    </row>
    <row r="137" spans="1:28" ht="14.4">
      <c r="A137" s="49"/>
      <c r="B137" s="94" t="s">
        <v>150</v>
      </c>
      <c r="C137" s="94"/>
      <c r="D137" s="216">
        <v>56608000</v>
      </c>
      <c r="E137" s="102" t="s">
        <v>149</v>
      </c>
      <c r="F137" s="215">
        <f>D137/$D$129*$D$127</f>
        <v>10214396.184452413</v>
      </c>
      <c r="G137" s="102" t="str">
        <f>"N = ("&amp;E137&amp;"/F) x E"</f>
        <v>N = (J/F) x E</v>
      </c>
      <c r="T137" s="49"/>
      <c r="U137" s="49"/>
      <c r="V137" s="49"/>
      <c r="W137" s="49"/>
      <c r="X137" s="49"/>
      <c r="Y137" s="49"/>
      <c r="Z137" s="49"/>
      <c r="AA137" s="49"/>
      <c r="AB137" s="49"/>
    </row>
    <row r="138" spans="1:28">
      <c r="A138" s="49"/>
      <c r="B138" s="94"/>
      <c r="C138" s="94"/>
      <c r="D138" s="131"/>
      <c r="E138" s="130"/>
      <c r="T138" s="49"/>
      <c r="U138" s="49"/>
      <c r="V138" s="49"/>
      <c r="W138" s="49"/>
      <c r="X138" s="49"/>
      <c r="Y138" s="49"/>
      <c r="Z138" s="49"/>
      <c r="AA138" s="49"/>
      <c r="AB138" s="49"/>
    </row>
    <row r="139" spans="1:28">
      <c r="A139" s="49"/>
      <c r="B139" s="94"/>
      <c r="C139" s="94"/>
      <c r="D139" s="131"/>
      <c r="E139" s="130"/>
      <c r="T139" s="49"/>
      <c r="U139" s="49"/>
      <c r="V139" s="49"/>
      <c r="W139" s="49"/>
      <c r="X139" s="49"/>
      <c r="Y139" s="49"/>
      <c r="Z139" s="49"/>
      <c r="AA139" s="49"/>
      <c r="AB139" s="49"/>
    </row>
    <row r="140" spans="1:28">
      <c r="A140" s="49"/>
      <c r="B140" s="129" t="s">
        <v>148</v>
      </c>
      <c r="C140" s="94"/>
      <c r="D140" s="94"/>
      <c r="E140" s="105"/>
      <c r="T140" s="49"/>
      <c r="U140" s="49"/>
      <c r="V140" s="49"/>
      <c r="W140" s="49"/>
      <c r="X140" s="49"/>
      <c r="Y140" s="49"/>
      <c r="Z140" s="49"/>
      <c r="AA140" s="49"/>
      <c r="AB140" s="49"/>
    </row>
    <row r="141" spans="1:28" ht="14.4">
      <c r="A141" s="49"/>
      <c r="B141" s="94" t="s">
        <v>147</v>
      </c>
      <c r="C141" s="94" t="s">
        <v>146</v>
      </c>
      <c r="D141" s="214">
        <f>F134/D120</f>
        <v>46243.584805851126</v>
      </c>
      <c r="E141" s="102" t="s">
        <v>145</v>
      </c>
      <c r="T141" s="49"/>
      <c r="U141" s="49"/>
      <c r="V141" s="49"/>
      <c r="W141" s="49"/>
      <c r="X141" s="49"/>
      <c r="Y141" s="49"/>
      <c r="Z141" s="49"/>
      <c r="AA141" s="49"/>
      <c r="AB141" s="49"/>
    </row>
    <row r="142" spans="1:28" ht="14.4">
      <c r="A142" s="49"/>
      <c r="B142" s="94" t="s">
        <v>144</v>
      </c>
      <c r="C142" s="94" t="s">
        <v>143</v>
      </c>
      <c r="D142" s="214">
        <f>F135/D121</f>
        <v>162522.83512953555</v>
      </c>
      <c r="E142" s="102" t="s">
        <v>142</v>
      </c>
      <c r="T142" s="49"/>
      <c r="U142" s="49"/>
      <c r="V142" s="49"/>
      <c r="W142" s="49"/>
      <c r="X142" s="49"/>
      <c r="Y142" s="49"/>
      <c r="Z142" s="49"/>
      <c r="AA142" s="49"/>
      <c r="AB142" s="49"/>
    </row>
    <row r="143" spans="1:28" ht="14.4">
      <c r="A143" s="49"/>
      <c r="B143" s="94" t="s">
        <v>141</v>
      </c>
      <c r="C143" s="94" t="s">
        <v>140</v>
      </c>
      <c r="D143" s="214">
        <f>F136/D122</f>
        <v>99501.89998762797</v>
      </c>
      <c r="E143" s="102" t="s">
        <v>139</v>
      </c>
      <c r="T143" s="49"/>
      <c r="U143" s="49"/>
      <c r="V143" s="49"/>
      <c r="W143" s="49"/>
      <c r="X143" s="49"/>
      <c r="Y143" s="49"/>
      <c r="Z143" s="49"/>
      <c r="AA143" s="49"/>
      <c r="AB143" s="49"/>
    </row>
    <row r="144" spans="1:28" ht="14.4">
      <c r="A144" s="49"/>
      <c r="B144" s="94" t="s">
        <v>138</v>
      </c>
      <c r="C144" s="94" t="s">
        <v>137</v>
      </c>
      <c r="D144" s="213">
        <f>F137/D123</f>
        <v>0.37697086628864557</v>
      </c>
      <c r="E144" s="102" t="s">
        <v>136</v>
      </c>
      <c r="T144" s="49"/>
      <c r="U144" s="49"/>
      <c r="V144" s="49"/>
      <c r="W144" s="49"/>
      <c r="X144" s="49"/>
      <c r="Y144" s="49"/>
      <c r="Z144" s="49"/>
      <c r="AA144" s="49"/>
      <c r="AB144" s="49"/>
    </row>
    <row r="145" spans="1:28" ht="14.4">
      <c r="A145" s="49"/>
      <c r="B145" s="94" t="s">
        <v>135</v>
      </c>
      <c r="C145" s="94" t="s">
        <v>97</v>
      </c>
      <c r="D145" s="212">
        <f>D45</f>
        <v>3.7093429580413964E-2</v>
      </c>
      <c r="E145" s="102" t="s">
        <v>134</v>
      </c>
      <c r="F145" s="94"/>
      <c r="T145" s="49"/>
      <c r="U145" s="49"/>
      <c r="V145" s="49"/>
      <c r="W145" s="49"/>
      <c r="X145" s="49"/>
      <c r="Y145" s="49"/>
      <c r="Z145" s="49"/>
      <c r="AA145" s="49"/>
      <c r="AB145" s="49"/>
    </row>
    <row r="146" spans="1:28">
      <c r="A146" s="49"/>
      <c r="T146" s="49"/>
      <c r="U146" s="49"/>
      <c r="V146" s="49"/>
      <c r="W146" s="49"/>
      <c r="X146" s="49"/>
      <c r="Y146" s="49"/>
      <c r="Z146" s="49"/>
      <c r="AA146" s="49"/>
      <c r="AB146" s="49"/>
    </row>
    <row r="147" spans="1:28">
      <c r="T147" s="49"/>
      <c r="U147" s="49"/>
      <c r="V147" s="49"/>
      <c r="W147" s="49"/>
      <c r="X147" s="49"/>
      <c r="Y147" s="49"/>
      <c r="Z147" s="49"/>
      <c r="AA147" s="49"/>
      <c r="AB147" s="49"/>
    </row>
    <row r="148" spans="1:28" s="87" customFormat="1"/>
    <row r="149" spans="1:28">
      <c r="T149" s="49"/>
      <c r="U149" s="49"/>
      <c r="V149" s="49"/>
      <c r="W149" s="49"/>
      <c r="X149" s="49"/>
      <c r="Y149" s="49"/>
      <c r="Z149" s="49"/>
      <c r="AA149" s="49"/>
      <c r="AB149" s="49"/>
    </row>
    <row r="150" spans="1:28">
      <c r="A150" s="43" t="s">
        <v>133</v>
      </c>
      <c r="B150" s="94"/>
      <c r="C150" s="94"/>
      <c r="D150" s="94"/>
      <c r="E150" s="94"/>
      <c r="F150" s="94"/>
      <c r="G150" s="94"/>
      <c r="H150" s="94"/>
      <c r="I150" s="94"/>
      <c r="J150" s="94"/>
      <c r="K150" s="94"/>
      <c r="L150" s="94"/>
      <c r="M150" s="94"/>
      <c r="N150" s="94"/>
      <c r="T150" s="49"/>
      <c r="U150" s="49"/>
      <c r="V150" s="49"/>
      <c r="W150" s="49"/>
      <c r="X150" s="49"/>
      <c r="Y150" s="49"/>
      <c r="Z150" s="49"/>
      <c r="AA150" s="49"/>
      <c r="AB150" s="49"/>
    </row>
    <row r="151" spans="1:28">
      <c r="A151" s="9" t="s">
        <v>132</v>
      </c>
      <c r="B151" s="94"/>
      <c r="C151" s="94"/>
      <c r="D151" s="94"/>
      <c r="E151" s="94"/>
      <c r="F151" s="94"/>
      <c r="G151" s="94"/>
      <c r="H151" s="94"/>
      <c r="I151" s="94"/>
      <c r="J151" s="94"/>
      <c r="K151" s="125" t="s">
        <v>131</v>
      </c>
      <c r="L151" s="94"/>
      <c r="M151" s="94"/>
      <c r="N151" s="94"/>
      <c r="T151" s="49"/>
      <c r="U151" s="49"/>
      <c r="V151" s="49"/>
      <c r="W151" s="49"/>
      <c r="X151" s="49"/>
      <c r="Y151" s="49"/>
      <c r="Z151" s="49"/>
      <c r="AA151" s="49"/>
      <c r="AB151" s="49"/>
    </row>
    <row r="152" spans="1:28">
      <c r="A152" s="94"/>
      <c r="B152" s="94"/>
      <c r="C152" s="94"/>
      <c r="D152" s="94"/>
      <c r="E152" s="94"/>
      <c r="F152" s="94"/>
      <c r="G152" s="94"/>
      <c r="H152" s="94"/>
      <c r="I152" s="94"/>
      <c r="J152" s="94"/>
      <c r="K152" s="94"/>
      <c r="L152" s="94"/>
      <c r="M152" s="94"/>
      <c r="N152" s="94"/>
    </row>
    <row r="153" spans="1:28">
      <c r="A153" s="124" t="s">
        <v>130</v>
      </c>
      <c r="B153" s="94"/>
      <c r="C153" s="94"/>
      <c r="D153" s="94"/>
      <c r="E153" s="94"/>
      <c r="F153" s="94"/>
      <c r="G153" s="94"/>
      <c r="H153" s="94"/>
      <c r="I153" s="94"/>
      <c r="J153" s="94"/>
      <c r="K153" s="94"/>
      <c r="L153" s="94"/>
      <c r="M153" s="94"/>
      <c r="N153" s="94"/>
    </row>
    <row r="154" spans="1:28">
      <c r="A154" s="124"/>
      <c r="B154" s="94"/>
      <c r="C154" s="94"/>
      <c r="D154" s="94"/>
      <c r="E154" s="94"/>
      <c r="F154" s="94"/>
      <c r="G154" s="94"/>
      <c r="H154" s="94"/>
      <c r="I154" s="94"/>
      <c r="J154" s="94"/>
      <c r="K154" s="94"/>
      <c r="L154" s="94"/>
      <c r="M154" s="94"/>
      <c r="N154" s="94"/>
    </row>
    <row r="155" spans="1:28" ht="15.6">
      <c r="A155" s="123" t="s">
        <v>129</v>
      </c>
      <c r="B155" s="94"/>
      <c r="C155" s="94"/>
      <c r="D155" s="94"/>
      <c r="E155" s="94"/>
      <c r="F155" s="94"/>
      <c r="G155" s="94"/>
      <c r="H155" s="94"/>
      <c r="I155" s="94"/>
      <c r="J155" s="94"/>
      <c r="K155" s="94"/>
      <c r="L155" s="94"/>
      <c r="M155" s="94"/>
      <c r="N155" s="94"/>
    </row>
    <row r="156" spans="1:28">
      <c r="A156" s="9"/>
      <c r="B156" s="94"/>
      <c r="C156" s="94"/>
      <c r="D156" s="94"/>
      <c r="E156" s="94"/>
      <c r="F156" s="94"/>
      <c r="G156" s="94"/>
      <c r="H156" s="94"/>
      <c r="I156" s="94"/>
      <c r="J156" s="94"/>
      <c r="K156" s="94"/>
      <c r="L156" s="94"/>
      <c r="M156" s="94"/>
      <c r="N156" s="94"/>
    </row>
    <row r="157" spans="1:28" ht="16.2" thickBot="1">
      <c r="A157" s="113" t="s">
        <v>128</v>
      </c>
      <c r="B157" s="94"/>
      <c r="C157" s="94"/>
      <c r="D157" s="94"/>
      <c r="E157" s="94"/>
      <c r="F157" s="94"/>
      <c r="G157" s="94"/>
      <c r="H157" s="94"/>
      <c r="I157" s="94"/>
      <c r="J157" s="94"/>
      <c r="K157" s="94"/>
      <c r="L157" s="94"/>
      <c r="M157" s="94"/>
      <c r="N157" s="94"/>
    </row>
    <row r="158" spans="1:28" ht="14.4" thickBot="1">
      <c r="A158" s="94"/>
      <c r="B158" s="94"/>
      <c r="C158" s="94"/>
      <c r="D158" s="94"/>
      <c r="E158" s="94"/>
      <c r="F158" s="94"/>
      <c r="G158" s="105" t="s">
        <v>121</v>
      </c>
      <c r="H158" s="94"/>
      <c r="I158" s="94"/>
      <c r="J158" s="112" t="s">
        <v>120</v>
      </c>
      <c r="K158" s="91"/>
      <c r="L158" s="111"/>
      <c r="M158" s="94"/>
      <c r="N158" s="94"/>
    </row>
    <row r="159" spans="1:28">
      <c r="A159" s="105"/>
      <c r="B159" s="105"/>
      <c r="C159" s="105" t="s">
        <v>117</v>
      </c>
      <c r="D159" s="105" t="s">
        <v>119</v>
      </c>
      <c r="E159" s="105" t="s">
        <v>118</v>
      </c>
      <c r="F159" s="105" t="s">
        <v>117</v>
      </c>
      <c r="G159" s="105" t="s">
        <v>116</v>
      </c>
      <c r="H159" s="105" t="s">
        <v>115</v>
      </c>
      <c r="I159" s="105"/>
      <c r="J159" s="105" t="s">
        <v>110</v>
      </c>
      <c r="K159" s="105" t="s">
        <v>114</v>
      </c>
      <c r="L159" s="94"/>
      <c r="M159" s="94"/>
      <c r="N159" s="94"/>
    </row>
    <row r="160" spans="1:28">
      <c r="A160" s="110" t="s">
        <v>113</v>
      </c>
      <c r="B160" s="110" t="s">
        <v>112</v>
      </c>
      <c r="C160" s="110" t="s">
        <v>111</v>
      </c>
      <c r="D160" s="110" t="s">
        <v>111</v>
      </c>
      <c r="E160" s="110" t="s">
        <v>111</v>
      </c>
      <c r="F160" s="110" t="s">
        <v>110</v>
      </c>
      <c r="G160" s="110" t="s">
        <v>110</v>
      </c>
      <c r="H160" s="110" t="s">
        <v>110</v>
      </c>
      <c r="I160" s="110" t="s">
        <v>110</v>
      </c>
      <c r="J160" s="110" t="s">
        <v>109</v>
      </c>
      <c r="K160" s="110" t="s">
        <v>108</v>
      </c>
      <c r="L160" s="110" t="s">
        <v>1</v>
      </c>
      <c r="M160" s="94"/>
      <c r="N160" s="94"/>
    </row>
    <row r="161" spans="1:15">
      <c r="A161" s="105" t="s">
        <v>107</v>
      </c>
      <c r="B161" s="105" t="s">
        <v>106</v>
      </c>
      <c r="C161" s="105"/>
      <c r="D161" s="105"/>
      <c r="E161" s="105"/>
      <c r="F161" s="105" t="s">
        <v>105</v>
      </c>
      <c r="G161" s="105" t="s">
        <v>105</v>
      </c>
      <c r="H161" s="105" t="s">
        <v>105</v>
      </c>
      <c r="I161" s="105" t="s">
        <v>105</v>
      </c>
      <c r="J161" s="105" t="s">
        <v>104</v>
      </c>
      <c r="K161" s="105" t="s">
        <v>104</v>
      </c>
      <c r="L161" s="105" t="s">
        <v>104</v>
      </c>
      <c r="M161" s="94"/>
      <c r="N161" s="94"/>
    </row>
    <row r="162" spans="1:15">
      <c r="A162" s="94"/>
      <c r="B162" s="94"/>
      <c r="C162" s="94"/>
      <c r="D162" s="94"/>
      <c r="E162" s="94"/>
      <c r="F162" s="94"/>
      <c r="G162" s="94"/>
      <c r="H162" s="94"/>
      <c r="I162" s="94"/>
      <c r="J162" s="94"/>
      <c r="K162" s="94"/>
      <c r="L162" s="94"/>
      <c r="M162" s="94"/>
      <c r="N162" s="94"/>
    </row>
    <row r="163" spans="1:15">
      <c r="A163" s="94">
        <f>B57</f>
        <v>50</v>
      </c>
      <c r="B163" s="94">
        <f>C57</f>
        <v>50</v>
      </c>
      <c r="C163" s="94">
        <v>1</v>
      </c>
      <c r="D163" s="94">
        <f>'SNB-Compliance'!I57</f>
        <v>2</v>
      </c>
      <c r="E163" s="109">
        <f>'SNB-Compliance'!J57</f>
        <v>0</v>
      </c>
      <c r="F163" s="108">
        <f t="shared" ref="F163:F180" si="2">(C163*$D$142)+(D163*$D$143)</f>
        <v>361526.63510479149</v>
      </c>
      <c r="G163" s="108">
        <f t="shared" ref="G163:G180" si="3">$D$144*A163*1000</f>
        <v>18848.543314432278</v>
      </c>
      <c r="H163" s="108">
        <f t="shared" ref="H163:H180" si="4">E163*$D$141</f>
        <v>0</v>
      </c>
      <c r="I163" s="107">
        <f t="shared" ref="I163:I180" si="5">F163+G163+H163</f>
        <v>380375.17841922375</v>
      </c>
      <c r="J163" s="106">
        <f t="shared" ref="J163:J180" si="6">I163/A163/365/1000</f>
        <v>2.0842475529820478E-2</v>
      </c>
      <c r="K163" s="106">
        <f t="shared" ref="K163:K180" si="7">$D$45</f>
        <v>3.7093429580413964E-2</v>
      </c>
      <c r="L163" s="106">
        <f t="shared" ref="L163:L180" si="8">K163+J163</f>
        <v>5.7935905110234442E-2</v>
      </c>
      <c r="M163" s="94"/>
      <c r="N163" s="94"/>
    </row>
    <row r="164" spans="1:15">
      <c r="A164" s="94">
        <f>A163</f>
        <v>50</v>
      </c>
      <c r="B164" s="94">
        <f t="shared" ref="B164:B180" si="9">C58</f>
        <v>100</v>
      </c>
      <c r="C164" s="94">
        <v>1</v>
      </c>
      <c r="D164" s="94">
        <f>'SNB-Compliance'!I58</f>
        <v>7</v>
      </c>
      <c r="E164" s="109">
        <f>'SNB-Compliance'!J58</f>
        <v>0.76800000000000002</v>
      </c>
      <c r="F164" s="108">
        <f t="shared" si="2"/>
        <v>859036.1350429313</v>
      </c>
      <c r="G164" s="108">
        <f t="shared" si="3"/>
        <v>18848.543314432278</v>
      </c>
      <c r="H164" s="108">
        <f t="shared" si="4"/>
        <v>35515.073130893667</v>
      </c>
      <c r="I164" s="107">
        <f t="shared" si="5"/>
        <v>913399.7514882572</v>
      </c>
      <c r="J164" s="106">
        <f t="shared" si="6"/>
        <v>5.004930145141135E-2</v>
      </c>
      <c r="K164" s="106">
        <f t="shared" si="7"/>
        <v>3.7093429580413964E-2</v>
      </c>
      <c r="L164" s="106">
        <f t="shared" si="8"/>
        <v>8.7142731031825321E-2</v>
      </c>
      <c r="M164" s="94"/>
      <c r="N164" s="122"/>
      <c r="O164" s="121"/>
    </row>
    <row r="165" spans="1:15">
      <c r="A165" s="94">
        <f>A164</f>
        <v>50</v>
      </c>
      <c r="B165" s="94">
        <f t="shared" si="9"/>
        <v>150</v>
      </c>
      <c r="C165" s="94">
        <v>1</v>
      </c>
      <c r="D165" s="94">
        <f>'SNB-Compliance'!I59</f>
        <v>7</v>
      </c>
      <c r="E165" s="109">
        <f>'SNB-Compliance'!J59</f>
        <v>2.4320000000000004</v>
      </c>
      <c r="F165" s="108">
        <f t="shared" si="2"/>
        <v>859036.1350429313</v>
      </c>
      <c r="G165" s="108">
        <f t="shared" si="3"/>
        <v>18848.543314432278</v>
      </c>
      <c r="H165" s="108">
        <f t="shared" si="4"/>
        <v>112464.39824782996</v>
      </c>
      <c r="I165" s="107">
        <f t="shared" si="5"/>
        <v>990349.07660519355</v>
      </c>
      <c r="J165" s="106">
        <f t="shared" si="6"/>
        <v>5.4265702827681832E-2</v>
      </c>
      <c r="K165" s="106">
        <f t="shared" si="7"/>
        <v>3.7093429580413964E-2</v>
      </c>
      <c r="L165" s="106">
        <f t="shared" si="8"/>
        <v>9.1359132408095789E-2</v>
      </c>
      <c r="M165" s="94"/>
      <c r="N165" s="122"/>
      <c r="O165" s="121"/>
    </row>
    <row r="166" spans="1:15">
      <c r="A166" s="94">
        <f>A165</f>
        <v>50</v>
      </c>
      <c r="B166" s="94">
        <f t="shared" si="9"/>
        <v>200</v>
      </c>
      <c r="C166" s="94">
        <v>1</v>
      </c>
      <c r="D166" s="94">
        <f>'SNB-Compliance'!I60</f>
        <v>7</v>
      </c>
      <c r="E166" s="109">
        <f>'SNB-Compliance'!J60</f>
        <v>4.4799999999999995</v>
      </c>
      <c r="F166" s="108">
        <f t="shared" si="2"/>
        <v>859036.1350429313</v>
      </c>
      <c r="G166" s="108">
        <f t="shared" si="3"/>
        <v>18848.543314432278</v>
      </c>
      <c r="H166" s="108">
        <f t="shared" si="4"/>
        <v>207171.25993021301</v>
      </c>
      <c r="I166" s="107">
        <f t="shared" si="5"/>
        <v>1085055.9382875767</v>
      </c>
      <c r="J166" s="106">
        <f t="shared" si="6"/>
        <v>5.9455119906168585E-2</v>
      </c>
      <c r="K166" s="106">
        <f t="shared" si="7"/>
        <v>3.7093429580413964E-2</v>
      </c>
      <c r="L166" s="106">
        <f t="shared" si="8"/>
        <v>9.6548549486582549E-2</v>
      </c>
      <c r="M166" s="94"/>
      <c r="N166" s="122"/>
      <c r="O166" s="121"/>
    </row>
    <row r="167" spans="1:15">
      <c r="A167" s="94">
        <f>A166</f>
        <v>50</v>
      </c>
      <c r="B167" s="94">
        <f t="shared" si="9"/>
        <v>250</v>
      </c>
      <c r="C167" s="94">
        <v>1</v>
      </c>
      <c r="D167" s="94">
        <f>'SNB-Compliance'!I61</f>
        <v>7</v>
      </c>
      <c r="E167" s="109">
        <f>'SNB-Compliance'!J61</f>
        <v>7.8079999999999998</v>
      </c>
      <c r="F167" s="108">
        <f t="shared" si="2"/>
        <v>859036.1350429313</v>
      </c>
      <c r="G167" s="108">
        <f t="shared" si="3"/>
        <v>18848.543314432278</v>
      </c>
      <c r="H167" s="108">
        <f t="shared" si="4"/>
        <v>361069.91016408557</v>
      </c>
      <c r="I167" s="107">
        <f t="shared" si="5"/>
        <v>1238954.5885214491</v>
      </c>
      <c r="J167" s="106">
        <f t="shared" si="6"/>
        <v>6.7887922658709549E-2</v>
      </c>
      <c r="K167" s="106">
        <f t="shared" si="7"/>
        <v>3.7093429580413964E-2</v>
      </c>
      <c r="L167" s="106">
        <f t="shared" si="8"/>
        <v>0.10498135223912351</v>
      </c>
      <c r="M167" s="94"/>
      <c r="N167" s="122"/>
      <c r="O167" s="121"/>
    </row>
    <row r="168" spans="1:15">
      <c r="A168" s="94">
        <f>A167</f>
        <v>50</v>
      </c>
      <c r="B168" s="94">
        <f t="shared" si="9"/>
        <v>300</v>
      </c>
      <c r="C168" s="94">
        <v>1</v>
      </c>
      <c r="D168" s="94">
        <f>'SNB-Compliance'!I62</f>
        <v>7</v>
      </c>
      <c r="E168" s="109">
        <f>'SNB-Compliance'!J62</f>
        <v>12.938000000000001</v>
      </c>
      <c r="F168" s="108">
        <f t="shared" si="2"/>
        <v>859036.1350429313</v>
      </c>
      <c r="G168" s="108">
        <f t="shared" si="3"/>
        <v>18848.543314432278</v>
      </c>
      <c r="H168" s="108">
        <f t="shared" si="4"/>
        <v>598299.50021810189</v>
      </c>
      <c r="I168" s="107">
        <f t="shared" si="5"/>
        <v>1476184.1785754655</v>
      </c>
      <c r="J168" s="106">
        <f t="shared" si="6"/>
        <v>8.0886804305504947E-2</v>
      </c>
      <c r="K168" s="106">
        <f t="shared" si="7"/>
        <v>3.7093429580413964E-2</v>
      </c>
      <c r="L168" s="106">
        <f t="shared" si="8"/>
        <v>0.11798023388591891</v>
      </c>
      <c r="M168" s="94"/>
      <c r="N168" s="122"/>
      <c r="O168" s="121"/>
    </row>
    <row r="169" spans="1:15">
      <c r="A169" s="94">
        <f>B63</f>
        <v>100</v>
      </c>
      <c r="B169" s="94">
        <f t="shared" si="9"/>
        <v>100</v>
      </c>
      <c r="C169" s="94">
        <v>1</v>
      </c>
      <c r="D169" s="94">
        <f>'SNB-Compliance'!I63</f>
        <v>7</v>
      </c>
      <c r="E169" s="109">
        <f>'SNB-Compliance'!J63</f>
        <v>0.76800000000000002</v>
      </c>
      <c r="F169" s="108">
        <f t="shared" si="2"/>
        <v>859036.1350429313</v>
      </c>
      <c r="G169" s="108">
        <f t="shared" si="3"/>
        <v>37697.086628864556</v>
      </c>
      <c r="H169" s="108">
        <f t="shared" si="4"/>
        <v>35515.073130893667</v>
      </c>
      <c r="I169" s="107">
        <f t="shared" si="5"/>
        <v>932248.29480268946</v>
      </c>
      <c r="J169" s="106">
        <f t="shared" si="6"/>
        <v>2.5541049172676425E-2</v>
      </c>
      <c r="K169" s="106">
        <f t="shared" si="7"/>
        <v>3.7093429580413964E-2</v>
      </c>
      <c r="L169" s="106">
        <f t="shared" si="8"/>
        <v>6.2634478753090389E-2</v>
      </c>
      <c r="M169" s="94"/>
      <c r="N169" s="122"/>
      <c r="O169" s="121"/>
    </row>
    <row r="170" spans="1:15">
      <c r="A170" s="94">
        <f>A169</f>
        <v>100</v>
      </c>
      <c r="B170" s="94">
        <f t="shared" si="9"/>
        <v>150</v>
      </c>
      <c r="C170" s="94">
        <v>1</v>
      </c>
      <c r="D170" s="94">
        <f>'SNB-Compliance'!I64</f>
        <v>7</v>
      </c>
      <c r="E170" s="109">
        <f>'SNB-Compliance'!J64</f>
        <v>2.5600000000000005</v>
      </c>
      <c r="F170" s="108">
        <f t="shared" si="2"/>
        <v>859036.1350429313</v>
      </c>
      <c r="G170" s="108">
        <f t="shared" si="3"/>
        <v>37697.086628864556</v>
      </c>
      <c r="H170" s="108">
        <f t="shared" si="4"/>
        <v>118383.5771029789</v>
      </c>
      <c r="I170" s="107">
        <f t="shared" si="5"/>
        <v>1015116.7987747748</v>
      </c>
      <c r="J170" s="106">
        <f t="shared" si="6"/>
        <v>2.7811419144514373E-2</v>
      </c>
      <c r="K170" s="106">
        <f t="shared" si="7"/>
        <v>3.7093429580413964E-2</v>
      </c>
      <c r="L170" s="106">
        <f t="shared" si="8"/>
        <v>6.4904848724928341E-2</v>
      </c>
      <c r="M170" s="94"/>
      <c r="N170" s="122"/>
      <c r="O170" s="121"/>
    </row>
    <row r="171" spans="1:15">
      <c r="A171" s="94">
        <f>A170</f>
        <v>100</v>
      </c>
      <c r="B171" s="94">
        <f t="shared" si="9"/>
        <v>200</v>
      </c>
      <c r="C171" s="94">
        <v>1</v>
      </c>
      <c r="D171" s="94">
        <f>'SNB-Compliance'!I65</f>
        <v>7</v>
      </c>
      <c r="E171" s="109">
        <f>'SNB-Compliance'!J65</f>
        <v>5.120000000000001</v>
      </c>
      <c r="F171" s="108">
        <f t="shared" si="2"/>
        <v>859036.1350429313</v>
      </c>
      <c r="G171" s="108">
        <f t="shared" si="3"/>
        <v>37697.086628864556</v>
      </c>
      <c r="H171" s="108">
        <f t="shared" si="4"/>
        <v>236767.15420595781</v>
      </c>
      <c r="I171" s="107">
        <f t="shared" si="5"/>
        <v>1133500.3758777536</v>
      </c>
      <c r="J171" s="106">
        <f t="shared" si="6"/>
        <v>3.1054804818568597E-2</v>
      </c>
      <c r="K171" s="106">
        <f t="shared" si="7"/>
        <v>3.7093429580413964E-2</v>
      </c>
      <c r="L171" s="106">
        <f t="shared" si="8"/>
        <v>6.8148234398982557E-2</v>
      </c>
      <c r="M171" s="94"/>
      <c r="N171" s="122"/>
      <c r="O171" s="121"/>
    </row>
    <row r="172" spans="1:15">
      <c r="A172" s="94">
        <f>A171</f>
        <v>100</v>
      </c>
      <c r="B172" s="94">
        <f t="shared" si="9"/>
        <v>250</v>
      </c>
      <c r="C172" s="94">
        <v>1</v>
      </c>
      <c r="D172" s="94">
        <f>'SNB-Compliance'!I66</f>
        <v>7</v>
      </c>
      <c r="E172" s="109">
        <f>'SNB-Compliance'!J66</f>
        <v>9.9840000000000018</v>
      </c>
      <c r="F172" s="108">
        <f t="shared" si="2"/>
        <v>859036.1350429313</v>
      </c>
      <c r="G172" s="108">
        <f t="shared" si="3"/>
        <v>37697.086628864556</v>
      </c>
      <c r="H172" s="108">
        <f t="shared" si="4"/>
        <v>461695.95070161769</v>
      </c>
      <c r="I172" s="107">
        <f t="shared" si="5"/>
        <v>1358429.1723734136</v>
      </c>
      <c r="J172" s="106">
        <f t="shared" si="6"/>
        <v>3.7217237599271605E-2</v>
      </c>
      <c r="K172" s="106">
        <f t="shared" si="7"/>
        <v>3.7093429580413964E-2</v>
      </c>
      <c r="L172" s="106">
        <f t="shared" si="8"/>
        <v>7.4310667179685569E-2</v>
      </c>
      <c r="M172" s="94"/>
      <c r="N172" s="122"/>
      <c r="O172" s="121"/>
    </row>
    <row r="173" spans="1:15">
      <c r="A173" s="94">
        <f>A172</f>
        <v>100</v>
      </c>
      <c r="B173" s="94">
        <f t="shared" si="9"/>
        <v>300</v>
      </c>
      <c r="C173" s="94">
        <v>1</v>
      </c>
      <c r="D173" s="94">
        <f>'SNB-Compliance'!I67</f>
        <v>7</v>
      </c>
      <c r="E173" s="109">
        <f>'SNB-Compliance'!J67</f>
        <v>13.49</v>
      </c>
      <c r="F173" s="108">
        <f t="shared" si="2"/>
        <v>859036.1350429313</v>
      </c>
      <c r="G173" s="108">
        <f t="shared" si="3"/>
        <v>37697.086628864556</v>
      </c>
      <c r="H173" s="108">
        <f t="shared" si="4"/>
        <v>623825.9590309317</v>
      </c>
      <c r="I173" s="107">
        <f t="shared" si="5"/>
        <v>1520559.1807027275</v>
      </c>
      <c r="J173" s="106">
        <f t="shared" si="6"/>
        <v>4.1659155635691163E-2</v>
      </c>
      <c r="K173" s="106">
        <f t="shared" si="7"/>
        <v>3.7093429580413964E-2</v>
      </c>
      <c r="L173" s="106">
        <f t="shared" si="8"/>
        <v>7.875258521610512E-2</v>
      </c>
      <c r="M173" s="94"/>
      <c r="N173" s="122"/>
      <c r="O173" s="121"/>
    </row>
    <row r="174" spans="1:15">
      <c r="A174" s="94">
        <f>B68</f>
        <v>150</v>
      </c>
      <c r="B174" s="94">
        <f t="shared" si="9"/>
        <v>150</v>
      </c>
      <c r="C174" s="94">
        <v>1</v>
      </c>
      <c r="D174" s="94">
        <f>'SNB-Compliance'!I68</f>
        <v>7</v>
      </c>
      <c r="E174" s="109">
        <f>'SNB-Compliance'!J68</f>
        <v>2.5600000000000005</v>
      </c>
      <c r="F174" s="108">
        <f t="shared" si="2"/>
        <v>859036.1350429313</v>
      </c>
      <c r="G174" s="108">
        <f t="shared" si="3"/>
        <v>56545.629943296837</v>
      </c>
      <c r="H174" s="108">
        <f t="shared" si="4"/>
        <v>118383.5771029789</v>
      </c>
      <c r="I174" s="107">
        <f t="shared" si="5"/>
        <v>1033965.3420892071</v>
      </c>
      <c r="J174" s="106">
        <f t="shared" si="6"/>
        <v>1.8885211727656753E-2</v>
      </c>
      <c r="K174" s="106">
        <f t="shared" si="7"/>
        <v>3.7093429580413964E-2</v>
      </c>
      <c r="L174" s="106">
        <f t="shared" si="8"/>
        <v>5.5978641308070717E-2</v>
      </c>
      <c r="M174" s="94"/>
      <c r="N174" s="122"/>
      <c r="O174" s="121"/>
    </row>
    <row r="175" spans="1:15">
      <c r="A175" s="94">
        <f>A174</f>
        <v>150</v>
      </c>
      <c r="B175" s="94">
        <f t="shared" si="9"/>
        <v>200</v>
      </c>
      <c r="C175" s="94">
        <v>1</v>
      </c>
      <c r="D175" s="94">
        <f>'SNB-Compliance'!I69</f>
        <v>7</v>
      </c>
      <c r="E175" s="109">
        <f>'SNB-Compliance'!J69</f>
        <v>5.120000000000001</v>
      </c>
      <c r="F175" s="108">
        <f t="shared" si="2"/>
        <v>859036.1350429313</v>
      </c>
      <c r="G175" s="108">
        <f t="shared" si="3"/>
        <v>56545.629943296837</v>
      </c>
      <c r="H175" s="108">
        <f t="shared" si="4"/>
        <v>236767.15420595781</v>
      </c>
      <c r="I175" s="107">
        <f t="shared" si="5"/>
        <v>1152348.9191921861</v>
      </c>
      <c r="J175" s="106">
        <f t="shared" si="6"/>
        <v>2.1047468843692897E-2</v>
      </c>
      <c r="K175" s="106">
        <f t="shared" si="7"/>
        <v>3.7093429580413964E-2</v>
      </c>
      <c r="L175" s="106">
        <f t="shared" si="8"/>
        <v>5.8140898424106857E-2</v>
      </c>
      <c r="M175" s="94"/>
      <c r="N175" s="122"/>
      <c r="O175" s="121"/>
    </row>
    <row r="176" spans="1:15">
      <c r="A176" s="94">
        <f>A175</f>
        <v>150</v>
      </c>
      <c r="B176" s="94">
        <f t="shared" si="9"/>
        <v>250</v>
      </c>
      <c r="C176" s="94">
        <v>1</v>
      </c>
      <c r="D176" s="94">
        <f>'SNB-Compliance'!I70</f>
        <v>7</v>
      </c>
      <c r="E176" s="109">
        <f>'SNB-Compliance'!J70</f>
        <v>10.496</v>
      </c>
      <c r="F176" s="108">
        <f t="shared" si="2"/>
        <v>859036.1350429313</v>
      </c>
      <c r="G176" s="108">
        <f t="shared" si="3"/>
        <v>56545.629943296837</v>
      </c>
      <c r="H176" s="108">
        <f t="shared" si="4"/>
        <v>485372.66612221341</v>
      </c>
      <c r="I176" s="107">
        <f t="shared" si="5"/>
        <v>1400954.4311084417</v>
      </c>
      <c r="J176" s="106">
        <f t="shared" si="6"/>
        <v>2.55882087873688E-2</v>
      </c>
      <c r="K176" s="106">
        <f t="shared" si="7"/>
        <v>3.7093429580413964E-2</v>
      </c>
      <c r="L176" s="106">
        <f t="shared" si="8"/>
        <v>6.268163836778276E-2</v>
      </c>
      <c r="M176" s="94"/>
      <c r="N176" s="122"/>
      <c r="O176" s="121"/>
    </row>
    <row r="177" spans="1:15">
      <c r="A177" s="94">
        <f>A176</f>
        <v>150</v>
      </c>
      <c r="B177" s="94">
        <f t="shared" si="9"/>
        <v>300</v>
      </c>
      <c r="C177" s="94">
        <v>1</v>
      </c>
      <c r="D177" s="94">
        <f>'SNB-Compliance'!I71</f>
        <v>7</v>
      </c>
      <c r="E177" s="109">
        <f>'SNB-Compliance'!J71</f>
        <v>13.628</v>
      </c>
      <c r="F177" s="108">
        <f t="shared" si="2"/>
        <v>859036.1350429313</v>
      </c>
      <c r="G177" s="108">
        <f t="shared" si="3"/>
        <v>56545.629943296837</v>
      </c>
      <c r="H177" s="108">
        <f t="shared" si="4"/>
        <v>630207.57373413909</v>
      </c>
      <c r="I177" s="107">
        <f t="shared" si="5"/>
        <v>1545789.3387203673</v>
      </c>
      <c r="J177" s="106">
        <f t="shared" si="6"/>
        <v>2.8233595227769269E-2</v>
      </c>
      <c r="K177" s="106">
        <f t="shared" si="7"/>
        <v>3.7093429580413964E-2</v>
      </c>
      <c r="L177" s="106">
        <f t="shared" si="8"/>
        <v>6.5327024808183226E-2</v>
      </c>
      <c r="M177" s="94"/>
      <c r="N177" s="122"/>
      <c r="O177" s="121"/>
    </row>
    <row r="178" spans="1:15">
      <c r="A178" s="94">
        <f>B72</f>
        <v>200</v>
      </c>
      <c r="B178" s="94">
        <f t="shared" si="9"/>
        <v>200</v>
      </c>
      <c r="C178" s="94">
        <v>1</v>
      </c>
      <c r="D178" s="94">
        <f>'SNB-Compliance'!I72</f>
        <v>7</v>
      </c>
      <c r="E178" s="109">
        <f>'SNB-Compliance'!J72</f>
        <v>5.120000000000001</v>
      </c>
      <c r="F178" s="108">
        <f t="shared" si="2"/>
        <v>859036.1350429313</v>
      </c>
      <c r="G178" s="108">
        <f t="shared" si="3"/>
        <v>75394.173257729111</v>
      </c>
      <c r="H178" s="108">
        <f t="shared" si="4"/>
        <v>236767.15420595781</v>
      </c>
      <c r="I178" s="107">
        <f t="shared" si="5"/>
        <v>1171197.4625066184</v>
      </c>
      <c r="J178" s="106">
        <f t="shared" si="6"/>
        <v>1.6043800856255046E-2</v>
      </c>
      <c r="K178" s="106">
        <f t="shared" si="7"/>
        <v>3.7093429580413964E-2</v>
      </c>
      <c r="L178" s="106">
        <f t="shared" si="8"/>
        <v>5.3137230436669014E-2</v>
      </c>
      <c r="M178" s="94"/>
      <c r="N178" s="122"/>
      <c r="O178" s="121"/>
    </row>
    <row r="179" spans="1:15">
      <c r="A179" s="94">
        <f>A178</f>
        <v>200</v>
      </c>
      <c r="B179" s="94">
        <f t="shared" si="9"/>
        <v>250</v>
      </c>
      <c r="C179" s="94">
        <v>1</v>
      </c>
      <c r="D179" s="94">
        <f>'SNB-Compliance'!I73</f>
        <v>7</v>
      </c>
      <c r="E179" s="109">
        <f>'SNB-Compliance'!J73</f>
        <v>10.496</v>
      </c>
      <c r="F179" s="108">
        <f t="shared" si="2"/>
        <v>859036.1350429313</v>
      </c>
      <c r="G179" s="108">
        <f t="shared" si="3"/>
        <v>75394.173257729111</v>
      </c>
      <c r="H179" s="108">
        <f t="shared" si="4"/>
        <v>485372.66612221341</v>
      </c>
      <c r="I179" s="107">
        <f t="shared" si="5"/>
        <v>1419802.9744228739</v>
      </c>
      <c r="J179" s="106">
        <f t="shared" si="6"/>
        <v>1.9449355814011974E-2</v>
      </c>
      <c r="K179" s="106">
        <f t="shared" si="7"/>
        <v>3.7093429580413964E-2</v>
      </c>
      <c r="L179" s="106">
        <f t="shared" si="8"/>
        <v>5.6542785394425935E-2</v>
      </c>
      <c r="M179" s="94"/>
      <c r="N179" s="122"/>
      <c r="O179" s="121"/>
    </row>
    <row r="180" spans="1:15">
      <c r="A180" s="94">
        <f>A179</f>
        <v>200</v>
      </c>
      <c r="B180" s="94">
        <f t="shared" si="9"/>
        <v>300</v>
      </c>
      <c r="C180" s="94">
        <v>1</v>
      </c>
      <c r="D180" s="94">
        <f>'SNB-Compliance'!I74</f>
        <v>7</v>
      </c>
      <c r="E180" s="109">
        <f>'SNB-Compliance'!J74</f>
        <v>13.766000000000002</v>
      </c>
      <c r="F180" s="108">
        <f t="shared" si="2"/>
        <v>859036.1350429313</v>
      </c>
      <c r="G180" s="108">
        <f t="shared" si="3"/>
        <v>75394.173257729111</v>
      </c>
      <c r="H180" s="108">
        <f t="shared" si="4"/>
        <v>636589.18843734672</v>
      </c>
      <c r="I180" s="107">
        <f t="shared" si="5"/>
        <v>1571019.4967380073</v>
      </c>
      <c r="J180" s="106">
        <f t="shared" si="6"/>
        <v>2.1520815023808322E-2</v>
      </c>
      <c r="K180" s="106">
        <f t="shared" si="7"/>
        <v>3.7093429580413964E-2</v>
      </c>
      <c r="L180" s="106">
        <f t="shared" si="8"/>
        <v>5.8614244604222286E-2</v>
      </c>
      <c r="M180" s="94"/>
      <c r="N180" s="122"/>
      <c r="O180" s="121"/>
    </row>
    <row r="181" spans="1:15">
      <c r="A181" s="120"/>
      <c r="B181" s="120"/>
      <c r="C181" s="120"/>
      <c r="D181" s="120"/>
      <c r="E181" s="119"/>
      <c r="F181" s="118"/>
      <c r="G181" s="117"/>
      <c r="H181" s="117"/>
      <c r="I181" s="116"/>
      <c r="J181" s="115"/>
      <c r="K181" s="115"/>
      <c r="L181" s="115"/>
      <c r="M181" s="94"/>
      <c r="N181" s="94"/>
    </row>
    <row r="182" spans="1:15">
      <c r="A182" s="120"/>
      <c r="B182" s="120"/>
      <c r="C182" s="120"/>
      <c r="D182" s="120"/>
      <c r="E182" s="119"/>
      <c r="F182" s="118"/>
      <c r="G182" s="117"/>
      <c r="H182" s="117"/>
      <c r="I182" s="116"/>
      <c r="J182" s="115"/>
      <c r="K182" s="115"/>
      <c r="L182" s="115"/>
      <c r="M182" s="94"/>
      <c r="N182" s="94"/>
    </row>
    <row r="183" spans="1:15">
      <c r="A183" s="120"/>
      <c r="B183" s="120"/>
      <c r="C183" s="120"/>
      <c r="D183" s="120"/>
      <c r="E183" s="119"/>
      <c r="F183" s="118"/>
      <c r="G183" s="117"/>
      <c r="H183" s="117"/>
      <c r="I183" s="116"/>
      <c r="J183" s="115"/>
      <c r="K183" s="115"/>
      <c r="L183" s="115"/>
      <c r="M183" s="94"/>
      <c r="N183" s="94"/>
    </row>
    <row r="184" spans="1:15">
      <c r="A184" s="94"/>
      <c r="B184" s="94"/>
      <c r="C184" s="94"/>
      <c r="D184" s="94"/>
      <c r="E184" s="94"/>
      <c r="F184" s="94"/>
      <c r="G184" s="94"/>
      <c r="H184" s="94"/>
      <c r="I184" s="94"/>
      <c r="J184" s="94"/>
      <c r="K184" s="94"/>
      <c r="L184" s="94"/>
      <c r="M184" s="94"/>
      <c r="N184" s="94"/>
    </row>
    <row r="185" spans="1:15" ht="14.4">
      <c r="A185" s="94"/>
      <c r="B185" s="94"/>
      <c r="C185" s="94"/>
      <c r="D185" s="94"/>
      <c r="E185" s="94"/>
      <c r="F185" s="94"/>
      <c r="G185" s="94"/>
      <c r="H185" s="94"/>
      <c r="I185" s="94"/>
      <c r="J185" s="104" t="s">
        <v>127</v>
      </c>
      <c r="K185" s="94"/>
      <c r="L185" s="210">
        <f>AVERAGE(L163:L180)</f>
        <v>7.3062287876557427E-2</v>
      </c>
      <c r="M185" s="102" t="s">
        <v>126</v>
      </c>
      <c r="N185" s="114"/>
    </row>
    <row r="186" spans="1:15">
      <c r="A186" s="94"/>
      <c r="B186" s="94"/>
      <c r="C186" s="94"/>
      <c r="D186" s="94"/>
      <c r="E186" s="94"/>
      <c r="F186" s="94"/>
      <c r="G186" s="94"/>
      <c r="H186" s="94"/>
      <c r="I186" s="94"/>
      <c r="J186" s="94"/>
      <c r="K186" s="94"/>
      <c r="L186" s="94"/>
      <c r="M186" s="94"/>
      <c r="N186" s="94"/>
    </row>
    <row r="187" spans="1:15" ht="16.2" thickBot="1">
      <c r="A187" s="113" t="s">
        <v>125</v>
      </c>
      <c r="B187" s="94"/>
      <c r="C187" s="94"/>
      <c r="D187" s="94"/>
      <c r="E187" s="94"/>
      <c r="F187" s="94"/>
      <c r="G187" s="94"/>
      <c r="H187" s="94"/>
      <c r="I187" s="94"/>
      <c r="J187" s="94"/>
      <c r="K187" s="94"/>
      <c r="L187" s="94"/>
      <c r="M187" s="94"/>
      <c r="N187" s="94"/>
    </row>
    <row r="188" spans="1:15" ht="14.4" thickBot="1">
      <c r="A188" s="94"/>
      <c r="B188" s="94"/>
      <c r="C188" s="94"/>
      <c r="D188" s="94"/>
      <c r="E188" s="94"/>
      <c r="F188" s="94"/>
      <c r="G188" s="105" t="s">
        <v>121</v>
      </c>
      <c r="H188" s="94"/>
      <c r="I188" s="94"/>
      <c r="J188" s="112" t="s">
        <v>120</v>
      </c>
      <c r="K188" s="91"/>
      <c r="L188" s="111"/>
      <c r="M188" s="94"/>
      <c r="N188" s="94"/>
    </row>
    <row r="189" spans="1:15">
      <c r="A189" s="105"/>
      <c r="B189" s="105"/>
      <c r="C189" s="105" t="s">
        <v>117</v>
      </c>
      <c r="D189" s="105" t="s">
        <v>119</v>
      </c>
      <c r="E189" s="105" t="s">
        <v>118</v>
      </c>
      <c r="F189" s="105" t="s">
        <v>117</v>
      </c>
      <c r="G189" s="105" t="s">
        <v>116</v>
      </c>
      <c r="H189" s="105" t="s">
        <v>115</v>
      </c>
      <c r="I189" s="105"/>
      <c r="J189" s="105" t="s">
        <v>110</v>
      </c>
      <c r="K189" s="105" t="s">
        <v>114</v>
      </c>
      <c r="L189" s="94"/>
      <c r="M189" s="94"/>
      <c r="N189" s="94"/>
    </row>
    <row r="190" spans="1:15">
      <c r="A190" s="110" t="s">
        <v>113</v>
      </c>
      <c r="B190" s="110" t="s">
        <v>112</v>
      </c>
      <c r="C190" s="110" t="s">
        <v>111</v>
      </c>
      <c r="D190" s="110" t="s">
        <v>111</v>
      </c>
      <c r="E190" s="110" t="s">
        <v>111</v>
      </c>
      <c r="F190" s="110" t="s">
        <v>110</v>
      </c>
      <c r="G190" s="110" t="s">
        <v>110</v>
      </c>
      <c r="H190" s="110" t="s">
        <v>110</v>
      </c>
      <c r="I190" s="110" t="s">
        <v>110</v>
      </c>
      <c r="J190" s="110" t="s">
        <v>109</v>
      </c>
      <c r="K190" s="110" t="s">
        <v>108</v>
      </c>
      <c r="L190" s="110" t="s">
        <v>1</v>
      </c>
      <c r="M190" s="94"/>
      <c r="N190" s="94"/>
    </row>
    <row r="191" spans="1:15">
      <c r="A191" s="105" t="s">
        <v>107</v>
      </c>
      <c r="B191" s="105" t="s">
        <v>106</v>
      </c>
      <c r="C191" s="105"/>
      <c r="D191" s="105"/>
      <c r="E191" s="105"/>
      <c r="F191" s="105" t="s">
        <v>105</v>
      </c>
      <c r="G191" s="105" t="s">
        <v>105</v>
      </c>
      <c r="H191" s="105" t="s">
        <v>105</v>
      </c>
      <c r="I191" s="105" t="s">
        <v>105</v>
      </c>
      <c r="J191" s="105" t="s">
        <v>104</v>
      </c>
      <c r="K191" s="105" t="s">
        <v>104</v>
      </c>
      <c r="L191" s="105" t="s">
        <v>104</v>
      </c>
      <c r="M191" s="94"/>
      <c r="N191" s="94"/>
    </row>
    <row r="192" spans="1:15">
      <c r="A192" s="94"/>
      <c r="B192" s="94"/>
      <c r="C192" s="94"/>
      <c r="D192" s="94"/>
      <c r="E192" s="94"/>
      <c r="F192" s="94"/>
      <c r="G192" s="94"/>
      <c r="H192" s="94"/>
      <c r="I192" s="94"/>
      <c r="J192" s="94"/>
      <c r="K192" s="94"/>
      <c r="L192" s="94"/>
      <c r="M192" s="94"/>
      <c r="N192" s="94"/>
    </row>
    <row r="193" spans="1:14">
      <c r="A193" s="94">
        <v>50</v>
      </c>
      <c r="B193" s="94">
        <v>50</v>
      </c>
      <c r="C193" s="107">
        <f>0</f>
        <v>0</v>
      </c>
      <c r="D193" s="107">
        <f>'SNB-Compliance'!I87</f>
        <v>0</v>
      </c>
      <c r="E193" s="109">
        <f>'SNB-Compliance'!F83</f>
        <v>45.400000000000006</v>
      </c>
      <c r="F193" s="108">
        <f>(C193*$D$142)+(D193*$D$143)</f>
        <v>0</v>
      </c>
      <c r="G193" s="108">
        <f>$D$144*A193*1000</f>
        <v>18848.543314432278</v>
      </c>
      <c r="H193" s="108">
        <f>E193*$D$141</f>
        <v>2099458.7501856415</v>
      </c>
      <c r="I193" s="107">
        <f>F193+G193+H193</f>
        <v>2118307.2935000737</v>
      </c>
      <c r="J193" s="106">
        <f>I193/A193/365/1000</f>
        <v>0.11607163252055198</v>
      </c>
      <c r="K193" s="106">
        <f>$D$45</f>
        <v>3.7093429580413964E-2</v>
      </c>
      <c r="L193" s="106">
        <f>K193+J193</f>
        <v>0.15316506210096595</v>
      </c>
      <c r="M193" s="94"/>
      <c r="N193" s="94"/>
    </row>
    <row r="194" spans="1:14">
      <c r="A194" s="94">
        <v>100</v>
      </c>
      <c r="B194" s="94">
        <v>100</v>
      </c>
      <c r="C194" s="107">
        <f>0</f>
        <v>0</v>
      </c>
      <c r="D194" s="107">
        <f>'SNB-Compliance'!I88</f>
        <v>0</v>
      </c>
      <c r="E194" s="109">
        <f>'SNB-Compliance'!F88</f>
        <v>78.2</v>
      </c>
      <c r="F194" s="108">
        <f>(C194*$D$142)+(D194*$D$143)</f>
        <v>0</v>
      </c>
      <c r="G194" s="108">
        <f>$D$144*A194*1000</f>
        <v>37697.086628864556</v>
      </c>
      <c r="H194" s="108">
        <f>E194*$D$141</f>
        <v>3616248.331817558</v>
      </c>
      <c r="I194" s="107">
        <f>F194+G194+H194</f>
        <v>3653945.4184464226</v>
      </c>
      <c r="J194" s="106">
        <f>I194/A194/365/1000</f>
        <v>0.10010809365606636</v>
      </c>
      <c r="K194" s="106">
        <f>$D$45</f>
        <v>3.7093429580413964E-2</v>
      </c>
      <c r="L194" s="106">
        <f>K194+J194</f>
        <v>0.13720152323648033</v>
      </c>
      <c r="M194" s="94"/>
      <c r="N194" s="94"/>
    </row>
    <row r="195" spans="1:14">
      <c r="A195" s="94">
        <v>150</v>
      </c>
      <c r="B195" s="94">
        <v>150</v>
      </c>
      <c r="C195" s="107">
        <f>0</f>
        <v>0</v>
      </c>
      <c r="D195" s="107">
        <f>'SNB-Compliance'!I89</f>
        <v>0</v>
      </c>
      <c r="E195" s="109">
        <f>'SNB-Compliance'!F92</f>
        <v>123.4</v>
      </c>
      <c r="F195" s="108">
        <f>(C195*$D$142)+(D195*$D$143)</f>
        <v>0</v>
      </c>
      <c r="G195" s="108">
        <f>$D$144*A195*1000</f>
        <v>56545.629943296837</v>
      </c>
      <c r="H195" s="108">
        <f>E195*$D$141</f>
        <v>5706458.3650420289</v>
      </c>
      <c r="I195" s="107">
        <f>F195+G195+H195</f>
        <v>5763003.9949853262</v>
      </c>
      <c r="J195" s="106">
        <f>I195/A195/365/1000</f>
        <v>0.10526034694037126</v>
      </c>
      <c r="K195" s="106">
        <f>$D$45</f>
        <v>3.7093429580413964E-2</v>
      </c>
      <c r="L195" s="106">
        <f>K195+J195</f>
        <v>0.14235377652078524</v>
      </c>
      <c r="M195" s="94"/>
      <c r="N195" s="94"/>
    </row>
    <row r="196" spans="1:14">
      <c r="A196" s="94">
        <v>200</v>
      </c>
      <c r="B196" s="94">
        <v>200</v>
      </c>
      <c r="C196" s="107">
        <f>0</f>
        <v>0</v>
      </c>
      <c r="D196" s="107">
        <f>'SNB-Compliance'!I90</f>
        <v>0</v>
      </c>
      <c r="E196" s="109">
        <f>'SNB-Compliance'!F97</f>
        <v>123.5</v>
      </c>
      <c r="F196" s="108">
        <f>(C196*$D$142)+(D196*$D$143)</f>
        <v>0</v>
      </c>
      <c r="G196" s="108">
        <f>$D$144*A196*1000</f>
        <v>75394.173257729111</v>
      </c>
      <c r="H196" s="108">
        <f>E196*$D$141</f>
        <v>5711082.7235226138</v>
      </c>
      <c r="I196" s="107">
        <f>F196+G196+H196</f>
        <v>5786476.8967803428</v>
      </c>
      <c r="J196" s="106">
        <f>I196/A196/365/1000</f>
        <v>7.9266806805210185E-2</v>
      </c>
      <c r="K196" s="106">
        <f>$D$45</f>
        <v>3.7093429580413964E-2</v>
      </c>
      <c r="L196" s="106">
        <f>K196+J196</f>
        <v>0.11636023638562415</v>
      </c>
      <c r="M196" s="94"/>
      <c r="N196" s="94"/>
    </row>
    <row r="197" spans="1:14">
      <c r="A197" s="94"/>
      <c r="B197" s="94"/>
      <c r="C197" s="94"/>
      <c r="D197" s="94"/>
      <c r="E197" s="94"/>
      <c r="F197" s="94"/>
      <c r="G197" s="94"/>
      <c r="H197" s="94"/>
      <c r="I197" s="94"/>
      <c r="J197" s="94"/>
      <c r="K197" s="94"/>
      <c r="L197" s="94"/>
      <c r="M197" s="94"/>
      <c r="N197" s="94"/>
    </row>
    <row r="198" spans="1:14" ht="14.4">
      <c r="A198" s="94"/>
      <c r="B198" s="94"/>
      <c r="C198" s="94"/>
      <c r="D198" s="94"/>
      <c r="E198" s="94"/>
      <c r="F198" s="94"/>
      <c r="G198" s="94"/>
      <c r="H198" s="94"/>
      <c r="I198" s="94"/>
      <c r="J198" s="104" t="s">
        <v>124</v>
      </c>
      <c r="K198" s="94"/>
      <c r="L198" s="211">
        <f>AVERAGE(L193:L196)</f>
        <v>0.13727014956096392</v>
      </c>
      <c r="M198" s="94" t="s">
        <v>123</v>
      </c>
      <c r="N198" s="94"/>
    </row>
    <row r="199" spans="1:14">
      <c r="A199" s="94"/>
      <c r="B199" s="94"/>
      <c r="C199" s="94"/>
      <c r="D199" s="94"/>
      <c r="E199" s="94"/>
      <c r="F199" s="94"/>
      <c r="G199" s="94"/>
      <c r="H199" s="94"/>
      <c r="I199" s="94"/>
      <c r="J199" s="104"/>
      <c r="K199" s="94"/>
      <c r="L199" s="103"/>
      <c r="M199" s="94"/>
      <c r="N199" s="94"/>
    </row>
    <row r="200" spans="1:14">
      <c r="M200" s="94"/>
      <c r="N200" s="94"/>
    </row>
    <row r="201" spans="1:14" ht="16.2" thickBot="1">
      <c r="A201" s="113" t="s">
        <v>122</v>
      </c>
      <c r="B201" s="94"/>
      <c r="C201" s="94"/>
      <c r="D201" s="94"/>
      <c r="E201" s="94"/>
      <c r="F201" s="94"/>
      <c r="G201" s="94"/>
      <c r="H201" s="94"/>
      <c r="I201" s="94"/>
      <c r="J201" s="94"/>
      <c r="K201" s="94"/>
      <c r="L201" s="94"/>
      <c r="M201" s="94"/>
      <c r="N201" s="94"/>
    </row>
    <row r="202" spans="1:14" ht="14.4" thickBot="1">
      <c r="A202" s="94"/>
      <c r="B202" s="94"/>
      <c r="C202" s="94"/>
      <c r="D202" s="94"/>
      <c r="E202" s="94"/>
      <c r="F202" s="94"/>
      <c r="G202" s="105" t="s">
        <v>121</v>
      </c>
      <c r="H202" s="94"/>
      <c r="I202" s="94"/>
      <c r="J202" s="112" t="s">
        <v>120</v>
      </c>
      <c r="K202" s="91"/>
      <c r="L202" s="111"/>
      <c r="M202" s="94"/>
      <c r="N202" s="94"/>
    </row>
    <row r="203" spans="1:14">
      <c r="A203" s="105"/>
      <c r="B203" s="105"/>
      <c r="C203" s="105" t="s">
        <v>117</v>
      </c>
      <c r="D203" s="105" t="s">
        <v>119</v>
      </c>
      <c r="E203" s="105" t="s">
        <v>118</v>
      </c>
      <c r="F203" s="105" t="s">
        <v>117</v>
      </c>
      <c r="G203" s="105" t="s">
        <v>116</v>
      </c>
      <c r="H203" s="105" t="s">
        <v>115</v>
      </c>
      <c r="I203" s="105"/>
      <c r="J203" s="105" t="s">
        <v>110</v>
      </c>
      <c r="K203" s="105" t="s">
        <v>114</v>
      </c>
      <c r="L203" s="94"/>
      <c r="M203" s="94"/>
      <c r="N203" s="94"/>
    </row>
    <row r="204" spans="1:14">
      <c r="A204" s="110" t="s">
        <v>113</v>
      </c>
      <c r="B204" s="110" t="s">
        <v>112</v>
      </c>
      <c r="C204" s="110" t="s">
        <v>111</v>
      </c>
      <c r="D204" s="110" t="s">
        <v>111</v>
      </c>
      <c r="E204" s="110" t="s">
        <v>111</v>
      </c>
      <c r="F204" s="110" t="s">
        <v>110</v>
      </c>
      <c r="G204" s="110" t="s">
        <v>110</v>
      </c>
      <c r="H204" s="110" t="s">
        <v>110</v>
      </c>
      <c r="I204" s="110" t="s">
        <v>110</v>
      </c>
      <c r="J204" s="110" t="s">
        <v>109</v>
      </c>
      <c r="K204" s="110" t="s">
        <v>108</v>
      </c>
      <c r="L204" s="110" t="s">
        <v>1</v>
      </c>
      <c r="M204" s="94"/>
      <c r="N204" s="94"/>
    </row>
    <row r="205" spans="1:14">
      <c r="A205" s="105" t="s">
        <v>107</v>
      </c>
      <c r="B205" s="105" t="s">
        <v>106</v>
      </c>
      <c r="C205" s="105"/>
      <c r="D205" s="105"/>
      <c r="E205" s="105"/>
      <c r="F205" s="105" t="s">
        <v>105</v>
      </c>
      <c r="G205" s="105" t="s">
        <v>105</v>
      </c>
      <c r="H205" s="105" t="s">
        <v>105</v>
      </c>
      <c r="I205" s="105" t="s">
        <v>105</v>
      </c>
      <c r="J205" s="105" t="s">
        <v>104</v>
      </c>
      <c r="K205" s="105" t="s">
        <v>104</v>
      </c>
      <c r="L205" s="105" t="s">
        <v>104</v>
      </c>
      <c r="M205" s="94"/>
      <c r="N205" s="94"/>
    </row>
    <row r="206" spans="1:14">
      <c r="A206" s="94"/>
      <c r="B206" s="94"/>
      <c r="C206" s="94"/>
      <c r="D206" s="94"/>
      <c r="E206" s="94"/>
      <c r="F206" s="94"/>
      <c r="G206" s="94"/>
      <c r="H206" s="94"/>
      <c r="I206" s="94"/>
      <c r="J206" s="94"/>
      <c r="K206" s="94"/>
      <c r="L206" s="94"/>
      <c r="M206" s="94"/>
      <c r="N206" s="94"/>
    </row>
    <row r="207" spans="1:14">
      <c r="A207" s="94">
        <v>50</v>
      </c>
      <c r="B207" s="94">
        <v>50</v>
      </c>
      <c r="C207" s="107">
        <v>1</v>
      </c>
      <c r="D207" s="107">
        <f>'SNB-Compliance'!F107</f>
        <v>1</v>
      </c>
      <c r="E207" s="109">
        <v>0</v>
      </c>
      <c r="F207" s="108">
        <f>(C207*$D$142)+(D207*$D$143)</f>
        <v>262024.73511716351</v>
      </c>
      <c r="G207" s="108">
        <f>$D$144*A207*1000</f>
        <v>18848.543314432278</v>
      </c>
      <c r="H207" s="108">
        <f>E207*$D$141</f>
        <v>0</v>
      </c>
      <c r="I207" s="107">
        <f>F207+G207+H207</f>
        <v>280873.27843159577</v>
      </c>
      <c r="J207" s="106">
        <f>I207/A207/365/1000</f>
        <v>1.539031662638881E-2</v>
      </c>
      <c r="K207" s="106">
        <f>$D$45</f>
        <v>3.7093429580413964E-2</v>
      </c>
      <c r="L207" s="106">
        <f>K207+J207</f>
        <v>5.2483746206802774E-2</v>
      </c>
      <c r="M207" s="94"/>
      <c r="N207" s="94"/>
    </row>
    <row r="208" spans="1:14">
      <c r="A208" s="94">
        <v>100</v>
      </c>
      <c r="B208" s="94">
        <v>100</v>
      </c>
      <c r="C208" s="107">
        <v>1</v>
      </c>
      <c r="D208" s="107">
        <f>'SNB-Compliance'!F108</f>
        <v>1</v>
      </c>
      <c r="E208" s="109">
        <v>0</v>
      </c>
      <c r="F208" s="108">
        <f>(C208*$D$142)+(D208*$D$143)</f>
        <v>262024.73511716351</v>
      </c>
      <c r="G208" s="108">
        <f>$D$144*A208*1000</f>
        <v>37697.086628864556</v>
      </c>
      <c r="H208" s="108">
        <f>E208*$D$141</f>
        <v>0</v>
      </c>
      <c r="I208" s="107">
        <f>F208+G208+H208</f>
        <v>299721.82174602809</v>
      </c>
      <c r="J208" s="106">
        <f>I208/A208/365/1000</f>
        <v>8.2115567601651531E-3</v>
      </c>
      <c r="K208" s="106">
        <f>$D$45</f>
        <v>3.7093429580413964E-2</v>
      </c>
      <c r="L208" s="106">
        <f>K208+J208</f>
        <v>4.5304986340579119E-2</v>
      </c>
      <c r="M208" s="94"/>
      <c r="N208" s="94"/>
    </row>
    <row r="209" spans="1:16">
      <c r="A209" s="94">
        <v>150</v>
      </c>
      <c r="B209" s="94">
        <v>150</v>
      </c>
      <c r="C209" s="107">
        <v>1</v>
      </c>
      <c r="D209" s="107">
        <f>'SNB-Compliance'!F110</f>
        <v>6</v>
      </c>
      <c r="E209" s="109">
        <v>0</v>
      </c>
      <c r="F209" s="108">
        <f>(C209*$D$142)+(D209*$D$143)</f>
        <v>759534.23505530332</v>
      </c>
      <c r="G209" s="108">
        <f>$D$144*A209*1000</f>
        <v>56545.629943296837</v>
      </c>
      <c r="H209" s="108">
        <f>E209*$D$141</f>
        <v>0</v>
      </c>
      <c r="I209" s="107">
        <f>F209+G209+H209</f>
        <v>816079.86499860021</v>
      </c>
      <c r="J209" s="106">
        <f>I209/A209/365/1000</f>
        <v>1.4905568310476717E-2</v>
      </c>
      <c r="K209" s="106">
        <f>$D$45</f>
        <v>3.7093429580413964E-2</v>
      </c>
      <c r="L209" s="106">
        <f>K209+J209</f>
        <v>5.1998997890890679E-2</v>
      </c>
      <c r="M209" s="94"/>
      <c r="N209" s="94"/>
    </row>
    <row r="210" spans="1:16">
      <c r="A210" s="94">
        <v>200</v>
      </c>
      <c r="B210" s="94">
        <v>200</v>
      </c>
      <c r="C210" s="107">
        <v>1</v>
      </c>
      <c r="D210" s="107">
        <f>'SNB-Compliance'!F111</f>
        <v>6</v>
      </c>
      <c r="E210" s="109">
        <v>0</v>
      </c>
      <c r="F210" s="108">
        <f>(C210*$D$142)+(D210*$D$143)</f>
        <v>759534.23505530332</v>
      </c>
      <c r="G210" s="108">
        <f>$D$144*A210*1000</f>
        <v>75394.173257729111</v>
      </c>
      <c r="H210" s="108">
        <f>E210*$D$141</f>
        <v>0</v>
      </c>
      <c r="I210" s="107">
        <f>F210+G210+H210</f>
        <v>834928.40831303247</v>
      </c>
      <c r="J210" s="106">
        <f>I210/A210/365/1000</f>
        <v>1.1437375456342911E-2</v>
      </c>
      <c r="K210" s="106">
        <f>$D$45</f>
        <v>3.7093429580413964E-2</v>
      </c>
      <c r="L210" s="106">
        <f>K210+J210</f>
        <v>4.8530805036756872E-2</v>
      </c>
      <c r="M210" s="94"/>
      <c r="N210" s="94"/>
    </row>
    <row r="211" spans="1:16">
      <c r="A211" s="94"/>
      <c r="B211" s="94"/>
      <c r="C211" s="94"/>
      <c r="D211" s="94"/>
      <c r="E211" s="94"/>
      <c r="F211" s="94"/>
      <c r="G211" s="94"/>
      <c r="H211" s="94"/>
      <c r="I211" s="94"/>
      <c r="J211" s="94"/>
      <c r="K211" s="94"/>
      <c r="L211" s="94"/>
      <c r="M211" s="105" t="s">
        <v>103</v>
      </c>
      <c r="N211" s="94"/>
    </row>
    <row r="212" spans="1:16" ht="14.4">
      <c r="A212" s="94"/>
      <c r="B212" s="94"/>
      <c r="C212" s="94"/>
      <c r="D212" s="94"/>
      <c r="E212" s="94"/>
      <c r="F212" s="94"/>
      <c r="G212" s="94"/>
      <c r="H212" s="94"/>
      <c r="I212" s="94"/>
      <c r="J212" s="104" t="s">
        <v>102</v>
      </c>
      <c r="K212" s="94"/>
      <c r="L212" s="210">
        <f>AVERAGE(L207:L210)</f>
        <v>4.9579633868757356E-2</v>
      </c>
      <c r="M212" s="94"/>
      <c r="N212" s="94"/>
    </row>
    <row r="213" spans="1:16">
      <c r="A213" s="94"/>
      <c r="B213" s="94"/>
      <c r="C213" s="94"/>
      <c r="D213" s="94"/>
      <c r="E213" s="94"/>
      <c r="F213" s="94"/>
      <c r="G213" s="94"/>
      <c r="H213" s="94"/>
      <c r="I213" s="94"/>
      <c r="J213" s="104"/>
      <c r="K213" s="94"/>
      <c r="L213" s="103"/>
      <c r="M213" s="102" t="s">
        <v>101</v>
      </c>
      <c r="N213" s="94"/>
    </row>
    <row r="214" spans="1:16" ht="15.6">
      <c r="A214" s="94"/>
      <c r="B214" s="94"/>
      <c r="C214" s="101"/>
      <c r="D214" s="100"/>
      <c r="E214" s="100"/>
      <c r="F214" s="100"/>
      <c r="G214" s="100"/>
      <c r="H214" s="100"/>
      <c r="I214" s="100"/>
      <c r="J214" s="99" t="s">
        <v>100</v>
      </c>
      <c r="K214" s="98"/>
      <c r="L214" s="97">
        <f>ROUND((L185+L198+L212)/3,5)</f>
        <v>8.6639999999999995E-2</v>
      </c>
      <c r="M214" s="94"/>
      <c r="N214" s="94"/>
      <c r="O214" s="209">
        <f>1.42/1.6</f>
        <v>0.88749999999999996</v>
      </c>
      <c r="P214" s="13">
        <f>O214*L214</f>
        <v>7.6892999999999989E-2</v>
      </c>
    </row>
    <row r="215" spans="1:16">
      <c r="A215" s="94"/>
      <c r="B215" s="94"/>
      <c r="C215" s="94"/>
      <c r="D215" s="93"/>
      <c r="E215" s="93"/>
      <c r="F215" s="93"/>
      <c r="G215" s="94"/>
      <c r="H215" s="94"/>
      <c r="I215" s="94"/>
      <c r="J215" s="94"/>
      <c r="K215" s="94"/>
      <c r="L215" s="94"/>
      <c r="M215" s="94"/>
      <c r="N215" s="94"/>
    </row>
    <row r="216" spans="1:16" ht="15.6">
      <c r="A216" s="94"/>
      <c r="B216" s="94"/>
      <c r="C216" s="94"/>
      <c r="D216" s="93"/>
      <c r="E216" s="93"/>
      <c r="F216" s="93"/>
      <c r="G216" s="94"/>
      <c r="H216" s="94"/>
      <c r="I216" s="93"/>
      <c r="J216" s="95"/>
      <c r="K216" s="96"/>
      <c r="L216" s="95" t="s">
        <v>99</v>
      </c>
      <c r="M216" s="94"/>
      <c r="N216" s="94"/>
    </row>
    <row r="217" spans="1:16" ht="14.4" thickBot="1">
      <c r="A217" s="94"/>
      <c r="B217" s="94"/>
      <c r="C217" s="94"/>
      <c r="D217" s="93"/>
      <c r="E217" s="93"/>
      <c r="F217" s="93"/>
      <c r="G217" s="94"/>
      <c r="H217" s="94"/>
      <c r="I217" s="94"/>
      <c r="J217" s="94"/>
      <c r="K217" s="94"/>
      <c r="L217" s="94"/>
      <c r="M217" s="94"/>
      <c r="N217" s="94"/>
    </row>
    <row r="218" spans="1:16" ht="16.2" thickBot="1">
      <c r="A218" s="94"/>
      <c r="B218" s="94"/>
      <c r="C218" s="94"/>
      <c r="D218" s="93"/>
      <c r="E218" s="93"/>
      <c r="F218" s="93"/>
      <c r="G218" s="92"/>
      <c r="H218" s="91"/>
      <c r="I218" s="91"/>
      <c r="J218" s="90" t="s">
        <v>98</v>
      </c>
      <c r="K218" s="89"/>
      <c r="L218" s="88">
        <f>ROUND((L214*365/12),5)</f>
        <v>2.6353</v>
      </c>
    </row>
    <row r="219" spans="1:16">
      <c r="K219" s="49"/>
    </row>
    <row r="220" spans="1:16">
      <c r="K220" s="49"/>
    </row>
    <row r="221" spans="1:16" s="87" customFormat="1"/>
  </sheetData>
  <mergeCells count="5">
    <mergeCell ref="D54:G54"/>
    <mergeCell ref="B57:B62"/>
    <mergeCell ref="B63:B67"/>
    <mergeCell ref="B68:B71"/>
    <mergeCell ref="B72:B74"/>
  </mergeCells>
  <pageMargins left="0.75" right="0.75" top="1" bottom="1" header="0.5" footer="0.5"/>
  <pageSetup paperSize="5" scale="46" fitToHeight="4" orientation="landscape" r:id="rId1"/>
  <headerFooter alignWithMargins="0"/>
  <rowBreaks count="3" manualBreakCount="3">
    <brk id="47" max="12" man="1"/>
    <brk id="112" max="12" man="1"/>
    <brk id="148"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221"/>
  <sheetViews>
    <sheetView view="pageBreakPreview" topLeftCell="A4" zoomScale="75" zoomScaleNormal="75" zoomScaleSheetLayoutView="75" workbookViewId="0">
      <selection activeCell="H35" sqref="H35"/>
    </sheetView>
  </sheetViews>
  <sheetFormatPr defaultRowHeight="13.8"/>
  <cols>
    <col min="1" max="1" width="10.5546875" style="13" bestFit="1" customWidth="1"/>
    <col min="2" max="2" width="44.109375" style="13" customWidth="1"/>
    <col min="3" max="3" width="14.6640625" style="13" customWidth="1"/>
    <col min="4" max="4" width="23.6640625" style="13" bestFit="1" customWidth="1"/>
    <col min="5" max="5" width="11.88671875" style="13" customWidth="1"/>
    <col min="6" max="6" width="20.6640625" style="13" customWidth="1"/>
    <col min="7" max="7" width="15.6640625" style="13" customWidth="1"/>
    <col min="8" max="8" width="16.109375" style="13" bestFit="1" customWidth="1"/>
    <col min="9" max="9" width="20.88671875" style="13" customWidth="1"/>
    <col min="10" max="10" width="13.6640625" style="13" customWidth="1"/>
    <col min="11" max="11" width="12.6640625" style="13" bestFit="1" customWidth="1"/>
    <col min="12" max="12" width="18.5546875" style="13" customWidth="1"/>
    <col min="13" max="13" width="17.6640625" style="13" customWidth="1"/>
    <col min="14" max="14" width="13.33203125" style="13" bestFit="1" customWidth="1"/>
    <col min="15" max="15" width="16.33203125" style="13" bestFit="1" customWidth="1"/>
    <col min="16" max="16" width="9.33203125" style="13" bestFit="1" customWidth="1"/>
    <col min="17" max="17" width="13" style="13" bestFit="1" customWidth="1"/>
    <col min="18" max="18" width="20.109375" style="13" bestFit="1" customWidth="1"/>
    <col min="19" max="19" width="50.33203125" style="13" bestFit="1" customWidth="1"/>
    <col min="20" max="20" width="16.109375" style="13" bestFit="1" customWidth="1"/>
    <col min="21" max="21" width="12.33203125" style="13" customWidth="1"/>
    <col min="22" max="22" width="18.88671875" style="13" bestFit="1" customWidth="1"/>
    <col min="23" max="23" width="16.6640625" style="13" customWidth="1"/>
    <col min="24" max="24" width="19" style="13" bestFit="1" customWidth="1"/>
    <col min="25" max="25" width="9.109375" style="13"/>
    <col min="26" max="26" width="18.88671875" style="13" bestFit="1" customWidth="1"/>
    <col min="27" max="256" width="9.109375" style="13"/>
    <col min="257" max="257" width="10.5546875" style="13" bestFit="1" customWidth="1"/>
    <col min="258" max="258" width="44.109375" style="13" customWidth="1"/>
    <col min="259" max="259" width="14.6640625" style="13" customWidth="1"/>
    <col min="260" max="260" width="23.6640625" style="13" bestFit="1" customWidth="1"/>
    <col min="261" max="261" width="11.88671875" style="13" customWidth="1"/>
    <col min="262" max="262" width="20.6640625" style="13" customWidth="1"/>
    <col min="263" max="263" width="15.6640625" style="13" customWidth="1"/>
    <col min="264" max="265" width="16.109375" style="13" bestFit="1" customWidth="1"/>
    <col min="266" max="266" width="13.6640625" style="13" customWidth="1"/>
    <col min="267" max="267" width="12.6640625" style="13" bestFit="1" customWidth="1"/>
    <col min="268" max="268" width="15.5546875" style="13" customWidth="1"/>
    <col min="269" max="269" width="16.109375" style="13" bestFit="1" customWidth="1"/>
    <col min="270" max="270" width="13.33203125" style="13" bestFit="1" customWidth="1"/>
    <col min="271" max="271" width="16.33203125" style="13" bestFit="1" customWidth="1"/>
    <col min="272" max="272" width="9.33203125" style="13" bestFit="1" customWidth="1"/>
    <col min="273" max="273" width="13" style="13" bestFit="1" customWidth="1"/>
    <col min="274" max="274" width="20.109375" style="13" bestFit="1" customWidth="1"/>
    <col min="275" max="275" width="50.33203125" style="13" bestFit="1" customWidth="1"/>
    <col min="276" max="276" width="16.109375" style="13" bestFit="1" customWidth="1"/>
    <col min="277" max="277" width="12.33203125" style="13" customWidth="1"/>
    <col min="278" max="278" width="18.88671875" style="13" bestFit="1" customWidth="1"/>
    <col min="279" max="279" width="16.6640625" style="13" customWidth="1"/>
    <col min="280" max="280" width="19" style="13" bestFit="1" customWidth="1"/>
    <col min="281" max="281" width="9.109375" style="13"/>
    <col min="282" max="282" width="18.88671875" style="13" bestFit="1" customWidth="1"/>
    <col min="283" max="512" width="9.109375" style="13"/>
    <col min="513" max="513" width="10.5546875" style="13" bestFit="1" customWidth="1"/>
    <col min="514" max="514" width="44.109375" style="13" customWidth="1"/>
    <col min="515" max="515" width="14.6640625" style="13" customWidth="1"/>
    <col min="516" max="516" width="23.6640625" style="13" bestFit="1" customWidth="1"/>
    <col min="517" max="517" width="11.88671875" style="13" customWidth="1"/>
    <col min="518" max="518" width="20.6640625" style="13" customWidth="1"/>
    <col min="519" max="519" width="15.6640625" style="13" customWidth="1"/>
    <col min="520" max="521" width="16.109375" style="13" bestFit="1" customWidth="1"/>
    <col min="522" max="522" width="13.6640625" style="13" customWidth="1"/>
    <col min="523" max="523" width="12.6640625" style="13" bestFit="1" customWidth="1"/>
    <col min="524" max="524" width="15.5546875" style="13" customWidth="1"/>
    <col min="525" max="525" width="16.109375" style="13" bestFit="1" customWidth="1"/>
    <col min="526" max="526" width="13.33203125" style="13" bestFit="1" customWidth="1"/>
    <col min="527" max="527" width="16.33203125" style="13" bestFit="1" customWidth="1"/>
    <col min="528" max="528" width="9.33203125" style="13" bestFit="1" customWidth="1"/>
    <col min="529" max="529" width="13" style="13" bestFit="1" customWidth="1"/>
    <col min="530" max="530" width="20.109375" style="13" bestFit="1" customWidth="1"/>
    <col min="531" max="531" width="50.33203125" style="13" bestFit="1" customWidth="1"/>
    <col min="532" max="532" width="16.109375" style="13" bestFit="1" customWidth="1"/>
    <col min="533" max="533" width="12.33203125" style="13" customWidth="1"/>
    <col min="534" max="534" width="18.88671875" style="13" bestFit="1" customWidth="1"/>
    <col min="535" max="535" width="16.6640625" style="13" customWidth="1"/>
    <col min="536" max="536" width="19" style="13" bestFit="1" customWidth="1"/>
    <col min="537" max="537" width="9.109375" style="13"/>
    <col min="538" max="538" width="18.88671875" style="13" bestFit="1" customWidth="1"/>
    <col min="539" max="768" width="9.109375" style="13"/>
    <col min="769" max="769" width="10.5546875" style="13" bestFit="1" customWidth="1"/>
    <col min="770" max="770" width="44.109375" style="13" customWidth="1"/>
    <col min="771" max="771" width="14.6640625" style="13" customWidth="1"/>
    <col min="772" max="772" width="23.6640625" style="13" bestFit="1" customWidth="1"/>
    <col min="773" max="773" width="11.88671875" style="13" customWidth="1"/>
    <col min="774" max="774" width="20.6640625" style="13" customWidth="1"/>
    <col min="775" max="775" width="15.6640625" style="13" customWidth="1"/>
    <col min="776" max="777" width="16.109375" style="13" bestFit="1" customWidth="1"/>
    <col min="778" max="778" width="13.6640625" style="13" customWidth="1"/>
    <col min="779" max="779" width="12.6640625" style="13" bestFit="1" customWidth="1"/>
    <col min="780" max="780" width="15.5546875" style="13" customWidth="1"/>
    <col min="781" max="781" width="16.109375" style="13" bestFit="1" customWidth="1"/>
    <col min="782" max="782" width="13.33203125" style="13" bestFit="1" customWidth="1"/>
    <col min="783" max="783" width="16.33203125" style="13" bestFit="1" customWidth="1"/>
    <col min="784" max="784" width="9.33203125" style="13" bestFit="1" customWidth="1"/>
    <col min="785" max="785" width="13" style="13" bestFit="1" customWidth="1"/>
    <col min="786" max="786" width="20.109375" style="13" bestFit="1" customWidth="1"/>
    <col min="787" max="787" width="50.33203125" style="13" bestFit="1" customWidth="1"/>
    <col min="788" max="788" width="16.109375" style="13" bestFit="1" customWidth="1"/>
    <col min="789" max="789" width="12.33203125" style="13" customWidth="1"/>
    <col min="790" max="790" width="18.88671875" style="13" bestFit="1" customWidth="1"/>
    <col min="791" max="791" width="16.6640625" style="13" customWidth="1"/>
    <col min="792" max="792" width="19" style="13" bestFit="1" customWidth="1"/>
    <col min="793" max="793" width="9.109375" style="13"/>
    <col min="794" max="794" width="18.88671875" style="13" bestFit="1" customWidth="1"/>
    <col min="795" max="1024" width="9.109375" style="13"/>
    <col min="1025" max="1025" width="10.5546875" style="13" bestFit="1" customWidth="1"/>
    <col min="1026" max="1026" width="44.109375" style="13" customWidth="1"/>
    <col min="1027" max="1027" width="14.6640625" style="13" customWidth="1"/>
    <col min="1028" max="1028" width="23.6640625" style="13" bestFit="1" customWidth="1"/>
    <col min="1029" max="1029" width="11.88671875" style="13" customWidth="1"/>
    <col min="1030" max="1030" width="20.6640625" style="13" customWidth="1"/>
    <col min="1031" max="1031" width="15.6640625" style="13" customWidth="1"/>
    <col min="1032" max="1033" width="16.109375" style="13" bestFit="1" customWidth="1"/>
    <col min="1034" max="1034" width="13.6640625" style="13" customWidth="1"/>
    <col min="1035" max="1035" width="12.6640625" style="13" bestFit="1" customWidth="1"/>
    <col min="1036" max="1036" width="15.5546875" style="13" customWidth="1"/>
    <col min="1037" max="1037" width="16.109375" style="13" bestFit="1" customWidth="1"/>
    <col min="1038" max="1038" width="13.33203125" style="13" bestFit="1" customWidth="1"/>
    <col min="1039" max="1039" width="16.33203125" style="13" bestFit="1" customWidth="1"/>
    <col min="1040" max="1040" width="9.33203125" style="13" bestFit="1" customWidth="1"/>
    <col min="1041" max="1041" width="13" style="13" bestFit="1" customWidth="1"/>
    <col min="1042" max="1042" width="20.109375" style="13" bestFit="1" customWidth="1"/>
    <col min="1043" max="1043" width="50.33203125" style="13" bestFit="1" customWidth="1"/>
    <col min="1044" max="1044" width="16.109375" style="13" bestFit="1" customWidth="1"/>
    <col min="1045" max="1045" width="12.33203125" style="13" customWidth="1"/>
    <col min="1046" max="1046" width="18.88671875" style="13" bestFit="1" customWidth="1"/>
    <col min="1047" max="1047" width="16.6640625" style="13" customWidth="1"/>
    <col min="1048" max="1048" width="19" style="13" bestFit="1" customWidth="1"/>
    <col min="1049" max="1049" width="9.109375" style="13"/>
    <col min="1050" max="1050" width="18.88671875" style="13" bestFit="1" customWidth="1"/>
    <col min="1051" max="1280" width="9.109375" style="13"/>
    <col min="1281" max="1281" width="10.5546875" style="13" bestFit="1" customWidth="1"/>
    <col min="1282" max="1282" width="44.109375" style="13" customWidth="1"/>
    <col min="1283" max="1283" width="14.6640625" style="13" customWidth="1"/>
    <col min="1284" max="1284" width="23.6640625" style="13" bestFit="1" customWidth="1"/>
    <col min="1285" max="1285" width="11.88671875" style="13" customWidth="1"/>
    <col min="1286" max="1286" width="20.6640625" style="13" customWidth="1"/>
    <col min="1287" max="1287" width="15.6640625" style="13" customWidth="1"/>
    <col min="1288" max="1289" width="16.109375" style="13" bestFit="1" customWidth="1"/>
    <col min="1290" max="1290" width="13.6640625" style="13" customWidth="1"/>
    <col min="1291" max="1291" width="12.6640625" style="13" bestFit="1" customWidth="1"/>
    <col min="1292" max="1292" width="15.5546875" style="13" customWidth="1"/>
    <col min="1293" max="1293" width="16.109375" style="13" bestFit="1" customWidth="1"/>
    <col min="1294" max="1294" width="13.33203125" style="13" bestFit="1" customWidth="1"/>
    <col min="1295" max="1295" width="16.33203125" style="13" bestFit="1" customWidth="1"/>
    <col min="1296" max="1296" width="9.33203125" style="13" bestFit="1" customWidth="1"/>
    <col min="1297" max="1297" width="13" style="13" bestFit="1" customWidth="1"/>
    <col min="1298" max="1298" width="20.109375" style="13" bestFit="1" customWidth="1"/>
    <col min="1299" max="1299" width="50.33203125" style="13" bestFit="1" customWidth="1"/>
    <col min="1300" max="1300" width="16.109375" style="13" bestFit="1" customWidth="1"/>
    <col min="1301" max="1301" width="12.33203125" style="13" customWidth="1"/>
    <col min="1302" max="1302" width="18.88671875" style="13" bestFit="1" customWidth="1"/>
    <col min="1303" max="1303" width="16.6640625" style="13" customWidth="1"/>
    <col min="1304" max="1304" width="19" style="13" bestFit="1" customWidth="1"/>
    <col min="1305" max="1305" width="9.109375" style="13"/>
    <col min="1306" max="1306" width="18.88671875" style="13" bestFit="1" customWidth="1"/>
    <col min="1307" max="1536" width="9.109375" style="13"/>
    <col min="1537" max="1537" width="10.5546875" style="13" bestFit="1" customWidth="1"/>
    <col min="1538" max="1538" width="44.109375" style="13" customWidth="1"/>
    <col min="1539" max="1539" width="14.6640625" style="13" customWidth="1"/>
    <col min="1540" max="1540" width="23.6640625" style="13" bestFit="1" customWidth="1"/>
    <col min="1541" max="1541" width="11.88671875" style="13" customWidth="1"/>
    <col min="1542" max="1542" width="20.6640625" style="13" customWidth="1"/>
    <col min="1543" max="1543" width="15.6640625" style="13" customWidth="1"/>
    <col min="1544" max="1545" width="16.109375" style="13" bestFit="1" customWidth="1"/>
    <col min="1546" max="1546" width="13.6640625" style="13" customWidth="1"/>
    <col min="1547" max="1547" width="12.6640625" style="13" bestFit="1" customWidth="1"/>
    <col min="1548" max="1548" width="15.5546875" style="13" customWidth="1"/>
    <col min="1549" max="1549" width="16.109375" style="13" bestFit="1" customWidth="1"/>
    <col min="1550" max="1550" width="13.33203125" style="13" bestFit="1" customWidth="1"/>
    <col min="1551" max="1551" width="16.33203125" style="13" bestFit="1" customWidth="1"/>
    <col min="1552" max="1552" width="9.33203125" style="13" bestFit="1" customWidth="1"/>
    <col min="1553" max="1553" width="13" style="13" bestFit="1" customWidth="1"/>
    <col min="1554" max="1554" width="20.109375" style="13" bestFit="1" customWidth="1"/>
    <col min="1555" max="1555" width="50.33203125" style="13" bestFit="1" customWidth="1"/>
    <col min="1556" max="1556" width="16.109375" style="13" bestFit="1" customWidth="1"/>
    <col min="1557" max="1557" width="12.33203125" style="13" customWidth="1"/>
    <col min="1558" max="1558" width="18.88671875" style="13" bestFit="1" customWidth="1"/>
    <col min="1559" max="1559" width="16.6640625" style="13" customWidth="1"/>
    <col min="1560" max="1560" width="19" style="13" bestFit="1" customWidth="1"/>
    <col min="1561" max="1561" width="9.109375" style="13"/>
    <col min="1562" max="1562" width="18.88671875" style="13" bestFit="1" customWidth="1"/>
    <col min="1563" max="1792" width="9.109375" style="13"/>
    <col min="1793" max="1793" width="10.5546875" style="13" bestFit="1" customWidth="1"/>
    <col min="1794" max="1794" width="44.109375" style="13" customWidth="1"/>
    <col min="1795" max="1795" width="14.6640625" style="13" customWidth="1"/>
    <col min="1796" max="1796" width="23.6640625" style="13" bestFit="1" customWidth="1"/>
    <col min="1797" max="1797" width="11.88671875" style="13" customWidth="1"/>
    <col min="1798" max="1798" width="20.6640625" style="13" customWidth="1"/>
    <col min="1799" max="1799" width="15.6640625" style="13" customWidth="1"/>
    <col min="1800" max="1801" width="16.109375" style="13" bestFit="1" customWidth="1"/>
    <col min="1802" max="1802" width="13.6640625" style="13" customWidth="1"/>
    <col min="1803" max="1803" width="12.6640625" style="13" bestFit="1" customWidth="1"/>
    <col min="1804" max="1804" width="15.5546875" style="13" customWidth="1"/>
    <col min="1805" max="1805" width="16.109375" style="13" bestFit="1" customWidth="1"/>
    <col min="1806" max="1806" width="13.33203125" style="13" bestFit="1" customWidth="1"/>
    <col min="1807" max="1807" width="16.33203125" style="13" bestFit="1" customWidth="1"/>
    <col min="1808" max="1808" width="9.33203125" style="13" bestFit="1" customWidth="1"/>
    <col min="1809" max="1809" width="13" style="13" bestFit="1" customWidth="1"/>
    <col min="1810" max="1810" width="20.109375" style="13" bestFit="1" customWidth="1"/>
    <col min="1811" max="1811" width="50.33203125" style="13" bestFit="1" customWidth="1"/>
    <col min="1812" max="1812" width="16.109375" style="13" bestFit="1" customWidth="1"/>
    <col min="1813" max="1813" width="12.33203125" style="13" customWidth="1"/>
    <col min="1814" max="1814" width="18.88671875" style="13" bestFit="1" customWidth="1"/>
    <col min="1815" max="1815" width="16.6640625" style="13" customWidth="1"/>
    <col min="1816" max="1816" width="19" style="13" bestFit="1" customWidth="1"/>
    <col min="1817" max="1817" width="9.109375" style="13"/>
    <col min="1818" max="1818" width="18.88671875" style="13" bestFit="1" customWidth="1"/>
    <col min="1819" max="2048" width="9.109375" style="13"/>
    <col min="2049" max="2049" width="10.5546875" style="13" bestFit="1" customWidth="1"/>
    <col min="2050" max="2050" width="44.109375" style="13" customWidth="1"/>
    <col min="2051" max="2051" width="14.6640625" style="13" customWidth="1"/>
    <col min="2052" max="2052" width="23.6640625" style="13" bestFit="1" customWidth="1"/>
    <col min="2053" max="2053" width="11.88671875" style="13" customWidth="1"/>
    <col min="2054" max="2054" width="20.6640625" style="13" customWidth="1"/>
    <col min="2055" max="2055" width="15.6640625" style="13" customWidth="1"/>
    <col min="2056" max="2057" width="16.109375" style="13" bestFit="1" customWidth="1"/>
    <col min="2058" max="2058" width="13.6640625" style="13" customWidth="1"/>
    <col min="2059" max="2059" width="12.6640625" style="13" bestFit="1" customWidth="1"/>
    <col min="2060" max="2060" width="15.5546875" style="13" customWidth="1"/>
    <col min="2061" max="2061" width="16.109375" style="13" bestFit="1" customWidth="1"/>
    <col min="2062" max="2062" width="13.33203125" style="13" bestFit="1" customWidth="1"/>
    <col min="2063" max="2063" width="16.33203125" style="13" bestFit="1" customWidth="1"/>
    <col min="2064" max="2064" width="9.33203125" style="13" bestFit="1" customWidth="1"/>
    <col min="2065" max="2065" width="13" style="13" bestFit="1" customWidth="1"/>
    <col min="2066" max="2066" width="20.109375" style="13" bestFit="1" customWidth="1"/>
    <col min="2067" max="2067" width="50.33203125" style="13" bestFit="1" customWidth="1"/>
    <col min="2068" max="2068" width="16.109375" style="13" bestFit="1" customWidth="1"/>
    <col min="2069" max="2069" width="12.33203125" style="13" customWidth="1"/>
    <col min="2070" max="2070" width="18.88671875" style="13" bestFit="1" customWidth="1"/>
    <col min="2071" max="2071" width="16.6640625" style="13" customWidth="1"/>
    <col min="2072" max="2072" width="19" style="13" bestFit="1" customWidth="1"/>
    <col min="2073" max="2073" width="9.109375" style="13"/>
    <col min="2074" max="2074" width="18.88671875" style="13" bestFit="1" customWidth="1"/>
    <col min="2075" max="2304" width="9.109375" style="13"/>
    <col min="2305" max="2305" width="10.5546875" style="13" bestFit="1" customWidth="1"/>
    <col min="2306" max="2306" width="44.109375" style="13" customWidth="1"/>
    <col min="2307" max="2307" width="14.6640625" style="13" customWidth="1"/>
    <col min="2308" max="2308" width="23.6640625" style="13" bestFit="1" customWidth="1"/>
    <col min="2309" max="2309" width="11.88671875" style="13" customWidth="1"/>
    <col min="2310" max="2310" width="20.6640625" style="13" customWidth="1"/>
    <col min="2311" max="2311" width="15.6640625" style="13" customWidth="1"/>
    <col min="2312" max="2313" width="16.109375" style="13" bestFit="1" customWidth="1"/>
    <col min="2314" max="2314" width="13.6640625" style="13" customWidth="1"/>
    <col min="2315" max="2315" width="12.6640625" style="13" bestFit="1" customWidth="1"/>
    <col min="2316" max="2316" width="15.5546875" style="13" customWidth="1"/>
    <col min="2317" max="2317" width="16.109375" style="13" bestFit="1" customWidth="1"/>
    <col min="2318" max="2318" width="13.33203125" style="13" bestFit="1" customWidth="1"/>
    <col min="2319" max="2319" width="16.33203125" style="13" bestFit="1" customWidth="1"/>
    <col min="2320" max="2320" width="9.33203125" style="13" bestFit="1" customWidth="1"/>
    <col min="2321" max="2321" width="13" style="13" bestFit="1" customWidth="1"/>
    <col min="2322" max="2322" width="20.109375" style="13" bestFit="1" customWidth="1"/>
    <col min="2323" max="2323" width="50.33203125" style="13" bestFit="1" customWidth="1"/>
    <col min="2324" max="2324" width="16.109375" style="13" bestFit="1" customWidth="1"/>
    <col min="2325" max="2325" width="12.33203125" style="13" customWidth="1"/>
    <col min="2326" max="2326" width="18.88671875" style="13" bestFit="1" customWidth="1"/>
    <col min="2327" max="2327" width="16.6640625" style="13" customWidth="1"/>
    <col min="2328" max="2328" width="19" style="13" bestFit="1" customWidth="1"/>
    <col min="2329" max="2329" width="9.109375" style="13"/>
    <col min="2330" max="2330" width="18.88671875" style="13" bestFit="1" customWidth="1"/>
    <col min="2331" max="2560" width="9.109375" style="13"/>
    <col min="2561" max="2561" width="10.5546875" style="13" bestFit="1" customWidth="1"/>
    <col min="2562" max="2562" width="44.109375" style="13" customWidth="1"/>
    <col min="2563" max="2563" width="14.6640625" style="13" customWidth="1"/>
    <col min="2564" max="2564" width="23.6640625" style="13" bestFit="1" customWidth="1"/>
    <col min="2565" max="2565" width="11.88671875" style="13" customWidth="1"/>
    <col min="2566" max="2566" width="20.6640625" style="13" customWidth="1"/>
    <col min="2567" max="2567" width="15.6640625" style="13" customWidth="1"/>
    <col min="2568" max="2569" width="16.109375" style="13" bestFit="1" customWidth="1"/>
    <col min="2570" max="2570" width="13.6640625" style="13" customWidth="1"/>
    <col min="2571" max="2571" width="12.6640625" style="13" bestFit="1" customWidth="1"/>
    <col min="2572" max="2572" width="15.5546875" style="13" customWidth="1"/>
    <col min="2573" max="2573" width="16.109375" style="13" bestFit="1" customWidth="1"/>
    <col min="2574" max="2574" width="13.33203125" style="13" bestFit="1" customWidth="1"/>
    <col min="2575" max="2575" width="16.33203125" style="13" bestFit="1" customWidth="1"/>
    <col min="2576" max="2576" width="9.33203125" style="13" bestFit="1" customWidth="1"/>
    <col min="2577" max="2577" width="13" style="13" bestFit="1" customWidth="1"/>
    <col min="2578" max="2578" width="20.109375" style="13" bestFit="1" customWidth="1"/>
    <col min="2579" max="2579" width="50.33203125" style="13" bestFit="1" customWidth="1"/>
    <col min="2580" max="2580" width="16.109375" style="13" bestFit="1" customWidth="1"/>
    <col min="2581" max="2581" width="12.33203125" style="13" customWidth="1"/>
    <col min="2582" max="2582" width="18.88671875" style="13" bestFit="1" customWidth="1"/>
    <col min="2583" max="2583" width="16.6640625" style="13" customWidth="1"/>
    <col min="2584" max="2584" width="19" style="13" bestFit="1" customWidth="1"/>
    <col min="2585" max="2585" width="9.109375" style="13"/>
    <col min="2586" max="2586" width="18.88671875" style="13" bestFit="1" customWidth="1"/>
    <col min="2587" max="2816" width="9.109375" style="13"/>
    <col min="2817" max="2817" width="10.5546875" style="13" bestFit="1" customWidth="1"/>
    <col min="2818" max="2818" width="44.109375" style="13" customWidth="1"/>
    <col min="2819" max="2819" width="14.6640625" style="13" customWidth="1"/>
    <col min="2820" max="2820" width="23.6640625" style="13" bestFit="1" customWidth="1"/>
    <col min="2821" max="2821" width="11.88671875" style="13" customWidth="1"/>
    <col min="2822" max="2822" width="20.6640625" style="13" customWidth="1"/>
    <col min="2823" max="2823" width="15.6640625" style="13" customWidth="1"/>
    <col min="2824" max="2825" width="16.109375" style="13" bestFit="1" customWidth="1"/>
    <col min="2826" max="2826" width="13.6640625" style="13" customWidth="1"/>
    <col min="2827" max="2827" width="12.6640625" style="13" bestFit="1" customWidth="1"/>
    <col min="2828" max="2828" width="15.5546875" style="13" customWidth="1"/>
    <col min="2829" max="2829" width="16.109375" style="13" bestFit="1" customWidth="1"/>
    <col min="2830" max="2830" width="13.33203125" style="13" bestFit="1" customWidth="1"/>
    <col min="2831" max="2831" width="16.33203125" style="13" bestFit="1" customWidth="1"/>
    <col min="2832" max="2832" width="9.33203125" style="13" bestFit="1" customWidth="1"/>
    <col min="2833" max="2833" width="13" style="13" bestFit="1" customWidth="1"/>
    <col min="2834" max="2834" width="20.109375" style="13" bestFit="1" customWidth="1"/>
    <col min="2835" max="2835" width="50.33203125" style="13" bestFit="1" customWidth="1"/>
    <col min="2836" max="2836" width="16.109375" style="13" bestFit="1" customWidth="1"/>
    <col min="2837" max="2837" width="12.33203125" style="13" customWidth="1"/>
    <col min="2838" max="2838" width="18.88671875" style="13" bestFit="1" customWidth="1"/>
    <col min="2839" max="2839" width="16.6640625" style="13" customWidth="1"/>
    <col min="2840" max="2840" width="19" style="13" bestFit="1" customWidth="1"/>
    <col min="2841" max="2841" width="9.109375" style="13"/>
    <col min="2842" max="2842" width="18.88671875" style="13" bestFit="1" customWidth="1"/>
    <col min="2843" max="3072" width="9.109375" style="13"/>
    <col min="3073" max="3073" width="10.5546875" style="13" bestFit="1" customWidth="1"/>
    <col min="3074" max="3074" width="44.109375" style="13" customWidth="1"/>
    <col min="3075" max="3075" width="14.6640625" style="13" customWidth="1"/>
    <col min="3076" max="3076" width="23.6640625" style="13" bestFit="1" customWidth="1"/>
    <col min="3077" max="3077" width="11.88671875" style="13" customWidth="1"/>
    <col min="3078" max="3078" width="20.6640625" style="13" customWidth="1"/>
    <col min="3079" max="3079" width="15.6640625" style="13" customWidth="1"/>
    <col min="3080" max="3081" width="16.109375" style="13" bestFit="1" customWidth="1"/>
    <col min="3082" max="3082" width="13.6640625" style="13" customWidth="1"/>
    <col min="3083" max="3083" width="12.6640625" style="13" bestFit="1" customWidth="1"/>
    <col min="3084" max="3084" width="15.5546875" style="13" customWidth="1"/>
    <col min="3085" max="3085" width="16.109375" style="13" bestFit="1" customWidth="1"/>
    <col min="3086" max="3086" width="13.33203125" style="13" bestFit="1" customWidth="1"/>
    <col min="3087" max="3087" width="16.33203125" style="13" bestFit="1" customWidth="1"/>
    <col min="3088" max="3088" width="9.33203125" style="13" bestFit="1" customWidth="1"/>
    <col min="3089" max="3089" width="13" style="13" bestFit="1" customWidth="1"/>
    <col min="3090" max="3090" width="20.109375" style="13" bestFit="1" customWidth="1"/>
    <col min="3091" max="3091" width="50.33203125" style="13" bestFit="1" customWidth="1"/>
    <col min="3092" max="3092" width="16.109375" style="13" bestFit="1" customWidth="1"/>
    <col min="3093" max="3093" width="12.33203125" style="13" customWidth="1"/>
    <col min="3094" max="3094" width="18.88671875" style="13" bestFit="1" customWidth="1"/>
    <col min="3095" max="3095" width="16.6640625" style="13" customWidth="1"/>
    <col min="3096" max="3096" width="19" style="13" bestFit="1" customWidth="1"/>
    <col min="3097" max="3097" width="9.109375" style="13"/>
    <col min="3098" max="3098" width="18.88671875" style="13" bestFit="1" customWidth="1"/>
    <col min="3099" max="3328" width="9.109375" style="13"/>
    <col min="3329" max="3329" width="10.5546875" style="13" bestFit="1" customWidth="1"/>
    <col min="3330" max="3330" width="44.109375" style="13" customWidth="1"/>
    <col min="3331" max="3331" width="14.6640625" style="13" customWidth="1"/>
    <col min="3332" max="3332" width="23.6640625" style="13" bestFit="1" customWidth="1"/>
    <col min="3333" max="3333" width="11.88671875" style="13" customWidth="1"/>
    <col min="3334" max="3334" width="20.6640625" style="13" customWidth="1"/>
    <col min="3335" max="3335" width="15.6640625" style="13" customWidth="1"/>
    <col min="3336" max="3337" width="16.109375" style="13" bestFit="1" customWidth="1"/>
    <col min="3338" max="3338" width="13.6640625" style="13" customWidth="1"/>
    <col min="3339" max="3339" width="12.6640625" style="13" bestFit="1" customWidth="1"/>
    <col min="3340" max="3340" width="15.5546875" style="13" customWidth="1"/>
    <col min="3341" max="3341" width="16.109375" style="13" bestFit="1" customWidth="1"/>
    <col min="3342" max="3342" width="13.33203125" style="13" bestFit="1" customWidth="1"/>
    <col min="3343" max="3343" width="16.33203125" style="13" bestFit="1" customWidth="1"/>
    <col min="3344" max="3344" width="9.33203125" style="13" bestFit="1" customWidth="1"/>
    <col min="3345" max="3345" width="13" style="13" bestFit="1" customWidth="1"/>
    <col min="3346" max="3346" width="20.109375" style="13" bestFit="1" customWidth="1"/>
    <col min="3347" max="3347" width="50.33203125" style="13" bestFit="1" customWidth="1"/>
    <col min="3348" max="3348" width="16.109375" style="13" bestFit="1" customWidth="1"/>
    <col min="3349" max="3349" width="12.33203125" style="13" customWidth="1"/>
    <col min="3350" max="3350" width="18.88671875" style="13" bestFit="1" customWidth="1"/>
    <col min="3351" max="3351" width="16.6640625" style="13" customWidth="1"/>
    <col min="3352" max="3352" width="19" style="13" bestFit="1" customWidth="1"/>
    <col min="3353" max="3353" width="9.109375" style="13"/>
    <col min="3354" max="3354" width="18.88671875" style="13" bestFit="1" customWidth="1"/>
    <col min="3355" max="3584" width="9.109375" style="13"/>
    <col min="3585" max="3585" width="10.5546875" style="13" bestFit="1" customWidth="1"/>
    <col min="3586" max="3586" width="44.109375" style="13" customWidth="1"/>
    <col min="3587" max="3587" width="14.6640625" style="13" customWidth="1"/>
    <col min="3588" max="3588" width="23.6640625" style="13" bestFit="1" customWidth="1"/>
    <col min="3589" max="3589" width="11.88671875" style="13" customWidth="1"/>
    <col min="3590" max="3590" width="20.6640625" style="13" customWidth="1"/>
    <col min="3591" max="3591" width="15.6640625" style="13" customWidth="1"/>
    <col min="3592" max="3593" width="16.109375" style="13" bestFit="1" customWidth="1"/>
    <col min="3594" max="3594" width="13.6640625" style="13" customWidth="1"/>
    <col min="3595" max="3595" width="12.6640625" style="13" bestFit="1" customWidth="1"/>
    <col min="3596" max="3596" width="15.5546875" style="13" customWidth="1"/>
    <col min="3597" max="3597" width="16.109375" style="13" bestFit="1" customWidth="1"/>
    <col min="3598" max="3598" width="13.33203125" style="13" bestFit="1" customWidth="1"/>
    <col min="3599" max="3599" width="16.33203125" style="13" bestFit="1" customWidth="1"/>
    <col min="3600" max="3600" width="9.33203125" style="13" bestFit="1" customWidth="1"/>
    <col min="3601" max="3601" width="13" style="13" bestFit="1" customWidth="1"/>
    <col min="3602" max="3602" width="20.109375" style="13" bestFit="1" customWidth="1"/>
    <col min="3603" max="3603" width="50.33203125" style="13" bestFit="1" customWidth="1"/>
    <col min="3604" max="3604" width="16.109375" style="13" bestFit="1" customWidth="1"/>
    <col min="3605" max="3605" width="12.33203125" style="13" customWidth="1"/>
    <col min="3606" max="3606" width="18.88671875" style="13" bestFit="1" customWidth="1"/>
    <col min="3607" max="3607" width="16.6640625" style="13" customWidth="1"/>
    <col min="3608" max="3608" width="19" style="13" bestFit="1" customWidth="1"/>
    <col min="3609" max="3609" width="9.109375" style="13"/>
    <col min="3610" max="3610" width="18.88671875" style="13" bestFit="1" customWidth="1"/>
    <col min="3611" max="3840" width="9.109375" style="13"/>
    <col min="3841" max="3841" width="10.5546875" style="13" bestFit="1" customWidth="1"/>
    <col min="3842" max="3842" width="44.109375" style="13" customWidth="1"/>
    <col min="3843" max="3843" width="14.6640625" style="13" customWidth="1"/>
    <col min="3844" max="3844" width="23.6640625" style="13" bestFit="1" customWidth="1"/>
    <col min="3845" max="3845" width="11.88671875" style="13" customWidth="1"/>
    <col min="3846" max="3846" width="20.6640625" style="13" customWidth="1"/>
    <col min="3847" max="3847" width="15.6640625" style="13" customWidth="1"/>
    <col min="3848" max="3849" width="16.109375" style="13" bestFit="1" customWidth="1"/>
    <col min="3850" max="3850" width="13.6640625" style="13" customWidth="1"/>
    <col min="3851" max="3851" width="12.6640625" style="13" bestFit="1" customWidth="1"/>
    <col min="3852" max="3852" width="15.5546875" style="13" customWidth="1"/>
    <col min="3853" max="3853" width="16.109375" style="13" bestFit="1" customWidth="1"/>
    <col min="3854" max="3854" width="13.33203125" style="13" bestFit="1" customWidth="1"/>
    <col min="3855" max="3855" width="16.33203125" style="13" bestFit="1" customWidth="1"/>
    <col min="3856" max="3856" width="9.33203125" style="13" bestFit="1" customWidth="1"/>
    <col min="3857" max="3857" width="13" style="13" bestFit="1" customWidth="1"/>
    <col min="3858" max="3858" width="20.109375" style="13" bestFit="1" customWidth="1"/>
    <col min="3859" max="3859" width="50.33203125" style="13" bestFit="1" customWidth="1"/>
    <col min="3860" max="3860" width="16.109375" style="13" bestFit="1" customWidth="1"/>
    <col min="3861" max="3861" width="12.33203125" style="13" customWidth="1"/>
    <col min="3862" max="3862" width="18.88671875" style="13" bestFit="1" customWidth="1"/>
    <col min="3863" max="3863" width="16.6640625" style="13" customWidth="1"/>
    <col min="3864" max="3864" width="19" style="13" bestFit="1" customWidth="1"/>
    <col min="3865" max="3865" width="9.109375" style="13"/>
    <col min="3866" max="3866" width="18.88671875" style="13" bestFit="1" customWidth="1"/>
    <col min="3867" max="4096" width="9.109375" style="13"/>
    <col min="4097" max="4097" width="10.5546875" style="13" bestFit="1" customWidth="1"/>
    <col min="4098" max="4098" width="44.109375" style="13" customWidth="1"/>
    <col min="4099" max="4099" width="14.6640625" style="13" customWidth="1"/>
    <col min="4100" max="4100" width="23.6640625" style="13" bestFit="1" customWidth="1"/>
    <col min="4101" max="4101" width="11.88671875" style="13" customWidth="1"/>
    <col min="4102" max="4102" width="20.6640625" style="13" customWidth="1"/>
    <col min="4103" max="4103" width="15.6640625" style="13" customWidth="1"/>
    <col min="4104" max="4105" width="16.109375" style="13" bestFit="1" customWidth="1"/>
    <col min="4106" max="4106" width="13.6640625" style="13" customWidth="1"/>
    <col min="4107" max="4107" width="12.6640625" style="13" bestFit="1" customWidth="1"/>
    <col min="4108" max="4108" width="15.5546875" style="13" customWidth="1"/>
    <col min="4109" max="4109" width="16.109375" style="13" bestFit="1" customWidth="1"/>
    <col min="4110" max="4110" width="13.33203125" style="13" bestFit="1" customWidth="1"/>
    <col min="4111" max="4111" width="16.33203125" style="13" bestFit="1" customWidth="1"/>
    <col min="4112" max="4112" width="9.33203125" style="13" bestFit="1" customWidth="1"/>
    <col min="4113" max="4113" width="13" style="13" bestFit="1" customWidth="1"/>
    <col min="4114" max="4114" width="20.109375" style="13" bestFit="1" customWidth="1"/>
    <col min="4115" max="4115" width="50.33203125" style="13" bestFit="1" customWidth="1"/>
    <col min="4116" max="4116" width="16.109375" style="13" bestFit="1" customWidth="1"/>
    <col min="4117" max="4117" width="12.33203125" style="13" customWidth="1"/>
    <col min="4118" max="4118" width="18.88671875" style="13" bestFit="1" customWidth="1"/>
    <col min="4119" max="4119" width="16.6640625" style="13" customWidth="1"/>
    <col min="4120" max="4120" width="19" style="13" bestFit="1" customWidth="1"/>
    <col min="4121" max="4121" width="9.109375" style="13"/>
    <col min="4122" max="4122" width="18.88671875" style="13" bestFit="1" customWidth="1"/>
    <col min="4123" max="4352" width="9.109375" style="13"/>
    <col min="4353" max="4353" width="10.5546875" style="13" bestFit="1" customWidth="1"/>
    <col min="4354" max="4354" width="44.109375" style="13" customWidth="1"/>
    <col min="4355" max="4355" width="14.6640625" style="13" customWidth="1"/>
    <col min="4356" max="4356" width="23.6640625" style="13" bestFit="1" customWidth="1"/>
    <col min="4357" max="4357" width="11.88671875" style="13" customWidth="1"/>
    <col min="4358" max="4358" width="20.6640625" style="13" customWidth="1"/>
    <col min="4359" max="4359" width="15.6640625" style="13" customWidth="1"/>
    <col min="4360" max="4361" width="16.109375" style="13" bestFit="1" customWidth="1"/>
    <col min="4362" max="4362" width="13.6640625" style="13" customWidth="1"/>
    <col min="4363" max="4363" width="12.6640625" style="13" bestFit="1" customWidth="1"/>
    <col min="4364" max="4364" width="15.5546875" style="13" customWidth="1"/>
    <col min="4365" max="4365" width="16.109375" style="13" bestFit="1" customWidth="1"/>
    <col min="4366" max="4366" width="13.33203125" style="13" bestFit="1" customWidth="1"/>
    <col min="4367" max="4367" width="16.33203125" style="13" bestFit="1" customWidth="1"/>
    <col min="4368" max="4368" width="9.33203125" style="13" bestFit="1" customWidth="1"/>
    <col min="4369" max="4369" width="13" style="13" bestFit="1" customWidth="1"/>
    <col min="4370" max="4370" width="20.109375" style="13" bestFit="1" customWidth="1"/>
    <col min="4371" max="4371" width="50.33203125" style="13" bestFit="1" customWidth="1"/>
    <col min="4372" max="4372" width="16.109375" style="13" bestFit="1" customWidth="1"/>
    <col min="4373" max="4373" width="12.33203125" style="13" customWidth="1"/>
    <col min="4374" max="4374" width="18.88671875" style="13" bestFit="1" customWidth="1"/>
    <col min="4375" max="4375" width="16.6640625" style="13" customWidth="1"/>
    <col min="4376" max="4376" width="19" style="13" bestFit="1" customWidth="1"/>
    <col min="4377" max="4377" width="9.109375" style="13"/>
    <col min="4378" max="4378" width="18.88671875" style="13" bestFit="1" customWidth="1"/>
    <col min="4379" max="4608" width="9.109375" style="13"/>
    <col min="4609" max="4609" width="10.5546875" style="13" bestFit="1" customWidth="1"/>
    <col min="4610" max="4610" width="44.109375" style="13" customWidth="1"/>
    <col min="4611" max="4611" width="14.6640625" style="13" customWidth="1"/>
    <col min="4612" max="4612" width="23.6640625" style="13" bestFit="1" customWidth="1"/>
    <col min="4613" max="4613" width="11.88671875" style="13" customWidth="1"/>
    <col min="4614" max="4614" width="20.6640625" style="13" customWidth="1"/>
    <col min="4615" max="4615" width="15.6640625" style="13" customWidth="1"/>
    <col min="4616" max="4617" width="16.109375" style="13" bestFit="1" customWidth="1"/>
    <col min="4618" max="4618" width="13.6640625" style="13" customWidth="1"/>
    <col min="4619" max="4619" width="12.6640625" style="13" bestFit="1" customWidth="1"/>
    <col min="4620" max="4620" width="15.5546875" style="13" customWidth="1"/>
    <col min="4621" max="4621" width="16.109375" style="13" bestFit="1" customWidth="1"/>
    <col min="4622" max="4622" width="13.33203125" style="13" bestFit="1" customWidth="1"/>
    <col min="4623" max="4623" width="16.33203125" style="13" bestFit="1" customWidth="1"/>
    <col min="4624" max="4624" width="9.33203125" style="13" bestFit="1" customWidth="1"/>
    <col min="4625" max="4625" width="13" style="13" bestFit="1" customWidth="1"/>
    <col min="4626" max="4626" width="20.109375" style="13" bestFit="1" customWidth="1"/>
    <col min="4627" max="4627" width="50.33203125" style="13" bestFit="1" customWidth="1"/>
    <col min="4628" max="4628" width="16.109375" style="13" bestFit="1" customWidth="1"/>
    <col min="4629" max="4629" width="12.33203125" style="13" customWidth="1"/>
    <col min="4630" max="4630" width="18.88671875" style="13" bestFit="1" customWidth="1"/>
    <col min="4631" max="4631" width="16.6640625" style="13" customWidth="1"/>
    <col min="4632" max="4632" width="19" style="13" bestFit="1" customWidth="1"/>
    <col min="4633" max="4633" width="9.109375" style="13"/>
    <col min="4634" max="4634" width="18.88671875" style="13" bestFit="1" customWidth="1"/>
    <col min="4635" max="4864" width="9.109375" style="13"/>
    <col min="4865" max="4865" width="10.5546875" style="13" bestFit="1" customWidth="1"/>
    <col min="4866" max="4866" width="44.109375" style="13" customWidth="1"/>
    <col min="4867" max="4867" width="14.6640625" style="13" customWidth="1"/>
    <col min="4868" max="4868" width="23.6640625" style="13" bestFit="1" customWidth="1"/>
    <col min="4869" max="4869" width="11.88671875" style="13" customWidth="1"/>
    <col min="4870" max="4870" width="20.6640625" style="13" customWidth="1"/>
    <col min="4871" max="4871" width="15.6640625" style="13" customWidth="1"/>
    <col min="4872" max="4873" width="16.109375" style="13" bestFit="1" customWidth="1"/>
    <col min="4874" max="4874" width="13.6640625" style="13" customWidth="1"/>
    <col min="4875" max="4875" width="12.6640625" style="13" bestFit="1" customWidth="1"/>
    <col min="4876" max="4876" width="15.5546875" style="13" customWidth="1"/>
    <col min="4877" max="4877" width="16.109375" style="13" bestFit="1" customWidth="1"/>
    <col min="4878" max="4878" width="13.33203125" style="13" bestFit="1" customWidth="1"/>
    <col min="4879" max="4879" width="16.33203125" style="13" bestFit="1" customWidth="1"/>
    <col min="4880" max="4880" width="9.33203125" style="13" bestFit="1" customWidth="1"/>
    <col min="4881" max="4881" width="13" style="13" bestFit="1" customWidth="1"/>
    <col min="4882" max="4882" width="20.109375" style="13" bestFit="1" customWidth="1"/>
    <col min="4883" max="4883" width="50.33203125" style="13" bestFit="1" customWidth="1"/>
    <col min="4884" max="4884" width="16.109375" style="13" bestFit="1" customWidth="1"/>
    <col min="4885" max="4885" width="12.33203125" style="13" customWidth="1"/>
    <col min="4886" max="4886" width="18.88671875" style="13" bestFit="1" customWidth="1"/>
    <col min="4887" max="4887" width="16.6640625" style="13" customWidth="1"/>
    <col min="4888" max="4888" width="19" style="13" bestFit="1" customWidth="1"/>
    <col min="4889" max="4889" width="9.109375" style="13"/>
    <col min="4890" max="4890" width="18.88671875" style="13" bestFit="1" customWidth="1"/>
    <col min="4891" max="5120" width="9.109375" style="13"/>
    <col min="5121" max="5121" width="10.5546875" style="13" bestFit="1" customWidth="1"/>
    <col min="5122" max="5122" width="44.109375" style="13" customWidth="1"/>
    <col min="5123" max="5123" width="14.6640625" style="13" customWidth="1"/>
    <col min="5124" max="5124" width="23.6640625" style="13" bestFit="1" customWidth="1"/>
    <col min="5125" max="5125" width="11.88671875" style="13" customWidth="1"/>
    <col min="5126" max="5126" width="20.6640625" style="13" customWidth="1"/>
    <col min="5127" max="5127" width="15.6640625" style="13" customWidth="1"/>
    <col min="5128" max="5129" width="16.109375" style="13" bestFit="1" customWidth="1"/>
    <col min="5130" max="5130" width="13.6640625" style="13" customWidth="1"/>
    <col min="5131" max="5131" width="12.6640625" style="13" bestFit="1" customWidth="1"/>
    <col min="5132" max="5132" width="15.5546875" style="13" customWidth="1"/>
    <col min="5133" max="5133" width="16.109375" style="13" bestFit="1" customWidth="1"/>
    <col min="5134" max="5134" width="13.33203125" style="13" bestFit="1" customWidth="1"/>
    <col min="5135" max="5135" width="16.33203125" style="13" bestFit="1" customWidth="1"/>
    <col min="5136" max="5136" width="9.33203125" style="13" bestFit="1" customWidth="1"/>
    <col min="5137" max="5137" width="13" style="13" bestFit="1" customWidth="1"/>
    <col min="5138" max="5138" width="20.109375" style="13" bestFit="1" customWidth="1"/>
    <col min="5139" max="5139" width="50.33203125" style="13" bestFit="1" customWidth="1"/>
    <col min="5140" max="5140" width="16.109375" style="13" bestFit="1" customWidth="1"/>
    <col min="5141" max="5141" width="12.33203125" style="13" customWidth="1"/>
    <col min="5142" max="5142" width="18.88671875" style="13" bestFit="1" customWidth="1"/>
    <col min="5143" max="5143" width="16.6640625" style="13" customWidth="1"/>
    <col min="5144" max="5144" width="19" style="13" bestFit="1" customWidth="1"/>
    <col min="5145" max="5145" width="9.109375" style="13"/>
    <col min="5146" max="5146" width="18.88671875" style="13" bestFit="1" customWidth="1"/>
    <col min="5147" max="5376" width="9.109375" style="13"/>
    <col min="5377" max="5377" width="10.5546875" style="13" bestFit="1" customWidth="1"/>
    <col min="5378" max="5378" width="44.109375" style="13" customWidth="1"/>
    <col min="5379" max="5379" width="14.6640625" style="13" customWidth="1"/>
    <col min="5380" max="5380" width="23.6640625" style="13" bestFit="1" customWidth="1"/>
    <col min="5381" max="5381" width="11.88671875" style="13" customWidth="1"/>
    <col min="5382" max="5382" width="20.6640625" style="13" customWidth="1"/>
    <col min="5383" max="5383" width="15.6640625" style="13" customWidth="1"/>
    <col min="5384" max="5385" width="16.109375" style="13" bestFit="1" customWidth="1"/>
    <col min="5386" max="5386" width="13.6640625" style="13" customWidth="1"/>
    <col min="5387" max="5387" width="12.6640625" style="13" bestFit="1" customWidth="1"/>
    <col min="5388" max="5388" width="15.5546875" style="13" customWidth="1"/>
    <col min="5389" max="5389" width="16.109375" style="13" bestFit="1" customWidth="1"/>
    <col min="5390" max="5390" width="13.33203125" style="13" bestFit="1" customWidth="1"/>
    <col min="5391" max="5391" width="16.33203125" style="13" bestFit="1" customWidth="1"/>
    <col min="5392" max="5392" width="9.33203125" style="13" bestFit="1" customWidth="1"/>
    <col min="5393" max="5393" width="13" style="13" bestFit="1" customWidth="1"/>
    <col min="5394" max="5394" width="20.109375" style="13" bestFit="1" customWidth="1"/>
    <col min="5395" max="5395" width="50.33203125" style="13" bestFit="1" customWidth="1"/>
    <col min="5396" max="5396" width="16.109375" style="13" bestFit="1" customWidth="1"/>
    <col min="5397" max="5397" width="12.33203125" style="13" customWidth="1"/>
    <col min="5398" max="5398" width="18.88671875" style="13" bestFit="1" customWidth="1"/>
    <col min="5399" max="5399" width="16.6640625" style="13" customWidth="1"/>
    <col min="5400" max="5400" width="19" style="13" bestFit="1" customWidth="1"/>
    <col min="5401" max="5401" width="9.109375" style="13"/>
    <col min="5402" max="5402" width="18.88671875" style="13" bestFit="1" customWidth="1"/>
    <col min="5403" max="5632" width="9.109375" style="13"/>
    <col min="5633" max="5633" width="10.5546875" style="13" bestFit="1" customWidth="1"/>
    <col min="5634" max="5634" width="44.109375" style="13" customWidth="1"/>
    <col min="5635" max="5635" width="14.6640625" style="13" customWidth="1"/>
    <col min="5636" max="5636" width="23.6640625" style="13" bestFit="1" customWidth="1"/>
    <col min="5637" max="5637" width="11.88671875" style="13" customWidth="1"/>
    <col min="5638" max="5638" width="20.6640625" style="13" customWidth="1"/>
    <col min="5639" max="5639" width="15.6640625" style="13" customWidth="1"/>
    <col min="5640" max="5641" width="16.109375" style="13" bestFit="1" customWidth="1"/>
    <col min="5642" max="5642" width="13.6640625" style="13" customWidth="1"/>
    <col min="5643" max="5643" width="12.6640625" style="13" bestFit="1" customWidth="1"/>
    <col min="5644" max="5644" width="15.5546875" style="13" customWidth="1"/>
    <col min="5645" max="5645" width="16.109375" style="13" bestFit="1" customWidth="1"/>
    <col min="5646" max="5646" width="13.33203125" style="13" bestFit="1" customWidth="1"/>
    <col min="5647" max="5647" width="16.33203125" style="13" bestFit="1" customWidth="1"/>
    <col min="5648" max="5648" width="9.33203125" style="13" bestFit="1" customWidth="1"/>
    <col min="5649" max="5649" width="13" style="13" bestFit="1" customWidth="1"/>
    <col min="5650" max="5650" width="20.109375" style="13" bestFit="1" customWidth="1"/>
    <col min="5651" max="5651" width="50.33203125" style="13" bestFit="1" customWidth="1"/>
    <col min="5652" max="5652" width="16.109375" style="13" bestFit="1" customWidth="1"/>
    <col min="5653" max="5653" width="12.33203125" style="13" customWidth="1"/>
    <col min="5654" max="5654" width="18.88671875" style="13" bestFit="1" customWidth="1"/>
    <col min="5655" max="5655" width="16.6640625" style="13" customWidth="1"/>
    <col min="5656" max="5656" width="19" style="13" bestFit="1" customWidth="1"/>
    <col min="5657" max="5657" width="9.109375" style="13"/>
    <col min="5658" max="5658" width="18.88671875" style="13" bestFit="1" customWidth="1"/>
    <col min="5659" max="5888" width="9.109375" style="13"/>
    <col min="5889" max="5889" width="10.5546875" style="13" bestFit="1" customWidth="1"/>
    <col min="5890" max="5890" width="44.109375" style="13" customWidth="1"/>
    <col min="5891" max="5891" width="14.6640625" style="13" customWidth="1"/>
    <col min="5892" max="5892" width="23.6640625" style="13" bestFit="1" customWidth="1"/>
    <col min="5893" max="5893" width="11.88671875" style="13" customWidth="1"/>
    <col min="5894" max="5894" width="20.6640625" style="13" customWidth="1"/>
    <col min="5895" max="5895" width="15.6640625" style="13" customWidth="1"/>
    <col min="5896" max="5897" width="16.109375" style="13" bestFit="1" customWidth="1"/>
    <col min="5898" max="5898" width="13.6640625" style="13" customWidth="1"/>
    <col min="5899" max="5899" width="12.6640625" style="13" bestFit="1" customWidth="1"/>
    <col min="5900" max="5900" width="15.5546875" style="13" customWidth="1"/>
    <col min="5901" max="5901" width="16.109375" style="13" bestFit="1" customWidth="1"/>
    <col min="5902" max="5902" width="13.33203125" style="13" bestFit="1" customWidth="1"/>
    <col min="5903" max="5903" width="16.33203125" style="13" bestFit="1" customWidth="1"/>
    <col min="5904" max="5904" width="9.33203125" style="13" bestFit="1" customWidth="1"/>
    <col min="5905" max="5905" width="13" style="13" bestFit="1" customWidth="1"/>
    <col min="5906" max="5906" width="20.109375" style="13" bestFit="1" customWidth="1"/>
    <col min="5907" max="5907" width="50.33203125" style="13" bestFit="1" customWidth="1"/>
    <col min="5908" max="5908" width="16.109375" style="13" bestFit="1" customWidth="1"/>
    <col min="5909" max="5909" width="12.33203125" style="13" customWidth="1"/>
    <col min="5910" max="5910" width="18.88671875" style="13" bestFit="1" customWidth="1"/>
    <col min="5911" max="5911" width="16.6640625" style="13" customWidth="1"/>
    <col min="5912" max="5912" width="19" style="13" bestFit="1" customWidth="1"/>
    <col min="5913" max="5913" width="9.109375" style="13"/>
    <col min="5914" max="5914" width="18.88671875" style="13" bestFit="1" customWidth="1"/>
    <col min="5915" max="6144" width="9.109375" style="13"/>
    <col min="6145" max="6145" width="10.5546875" style="13" bestFit="1" customWidth="1"/>
    <col min="6146" max="6146" width="44.109375" style="13" customWidth="1"/>
    <col min="6147" max="6147" width="14.6640625" style="13" customWidth="1"/>
    <col min="6148" max="6148" width="23.6640625" style="13" bestFit="1" customWidth="1"/>
    <col min="6149" max="6149" width="11.88671875" style="13" customWidth="1"/>
    <col min="6150" max="6150" width="20.6640625" style="13" customWidth="1"/>
    <col min="6151" max="6151" width="15.6640625" style="13" customWidth="1"/>
    <col min="6152" max="6153" width="16.109375" style="13" bestFit="1" customWidth="1"/>
    <col min="6154" max="6154" width="13.6640625" style="13" customWidth="1"/>
    <col min="6155" max="6155" width="12.6640625" style="13" bestFit="1" customWidth="1"/>
    <col min="6156" max="6156" width="15.5546875" style="13" customWidth="1"/>
    <col min="6157" max="6157" width="16.109375" style="13" bestFit="1" customWidth="1"/>
    <col min="6158" max="6158" width="13.33203125" style="13" bestFit="1" customWidth="1"/>
    <col min="6159" max="6159" width="16.33203125" style="13" bestFit="1" customWidth="1"/>
    <col min="6160" max="6160" width="9.33203125" style="13" bestFit="1" customWidth="1"/>
    <col min="6161" max="6161" width="13" style="13" bestFit="1" customWidth="1"/>
    <col min="6162" max="6162" width="20.109375" style="13" bestFit="1" customWidth="1"/>
    <col min="6163" max="6163" width="50.33203125" style="13" bestFit="1" customWidth="1"/>
    <col min="6164" max="6164" width="16.109375" style="13" bestFit="1" customWidth="1"/>
    <col min="6165" max="6165" width="12.33203125" style="13" customWidth="1"/>
    <col min="6166" max="6166" width="18.88671875" style="13" bestFit="1" customWidth="1"/>
    <col min="6167" max="6167" width="16.6640625" style="13" customWidth="1"/>
    <col min="6168" max="6168" width="19" style="13" bestFit="1" customWidth="1"/>
    <col min="6169" max="6169" width="9.109375" style="13"/>
    <col min="6170" max="6170" width="18.88671875" style="13" bestFit="1" customWidth="1"/>
    <col min="6171" max="6400" width="9.109375" style="13"/>
    <col min="6401" max="6401" width="10.5546875" style="13" bestFit="1" customWidth="1"/>
    <col min="6402" max="6402" width="44.109375" style="13" customWidth="1"/>
    <col min="6403" max="6403" width="14.6640625" style="13" customWidth="1"/>
    <col min="6404" max="6404" width="23.6640625" style="13" bestFit="1" customWidth="1"/>
    <col min="6405" max="6405" width="11.88671875" style="13" customWidth="1"/>
    <col min="6406" max="6406" width="20.6640625" style="13" customWidth="1"/>
    <col min="6407" max="6407" width="15.6640625" style="13" customWidth="1"/>
    <col min="6408" max="6409" width="16.109375" style="13" bestFit="1" customWidth="1"/>
    <col min="6410" max="6410" width="13.6640625" style="13" customWidth="1"/>
    <col min="6411" max="6411" width="12.6640625" style="13" bestFit="1" customWidth="1"/>
    <col min="6412" max="6412" width="15.5546875" style="13" customWidth="1"/>
    <col min="6413" max="6413" width="16.109375" style="13" bestFit="1" customWidth="1"/>
    <col min="6414" max="6414" width="13.33203125" style="13" bestFit="1" customWidth="1"/>
    <col min="6415" max="6415" width="16.33203125" style="13" bestFit="1" customWidth="1"/>
    <col min="6416" max="6416" width="9.33203125" style="13" bestFit="1" customWidth="1"/>
    <col min="6417" max="6417" width="13" style="13" bestFit="1" customWidth="1"/>
    <col min="6418" max="6418" width="20.109375" style="13" bestFit="1" customWidth="1"/>
    <col min="6419" max="6419" width="50.33203125" style="13" bestFit="1" customWidth="1"/>
    <col min="6420" max="6420" width="16.109375" style="13" bestFit="1" customWidth="1"/>
    <col min="6421" max="6421" width="12.33203125" style="13" customWidth="1"/>
    <col min="6422" max="6422" width="18.88671875" style="13" bestFit="1" customWidth="1"/>
    <col min="6423" max="6423" width="16.6640625" style="13" customWidth="1"/>
    <col min="6424" max="6424" width="19" style="13" bestFit="1" customWidth="1"/>
    <col min="6425" max="6425" width="9.109375" style="13"/>
    <col min="6426" max="6426" width="18.88671875" style="13" bestFit="1" customWidth="1"/>
    <col min="6427" max="6656" width="9.109375" style="13"/>
    <col min="6657" max="6657" width="10.5546875" style="13" bestFit="1" customWidth="1"/>
    <col min="6658" max="6658" width="44.109375" style="13" customWidth="1"/>
    <col min="6659" max="6659" width="14.6640625" style="13" customWidth="1"/>
    <col min="6660" max="6660" width="23.6640625" style="13" bestFit="1" customWidth="1"/>
    <col min="6661" max="6661" width="11.88671875" style="13" customWidth="1"/>
    <col min="6662" max="6662" width="20.6640625" style="13" customWidth="1"/>
    <col min="6663" max="6663" width="15.6640625" style="13" customWidth="1"/>
    <col min="6664" max="6665" width="16.109375" style="13" bestFit="1" customWidth="1"/>
    <col min="6666" max="6666" width="13.6640625" style="13" customWidth="1"/>
    <col min="6667" max="6667" width="12.6640625" style="13" bestFit="1" customWidth="1"/>
    <col min="6668" max="6668" width="15.5546875" style="13" customWidth="1"/>
    <col min="6669" max="6669" width="16.109375" style="13" bestFit="1" customWidth="1"/>
    <col min="6670" max="6670" width="13.33203125" style="13" bestFit="1" customWidth="1"/>
    <col min="6671" max="6671" width="16.33203125" style="13" bestFit="1" customWidth="1"/>
    <col min="6672" max="6672" width="9.33203125" style="13" bestFit="1" customWidth="1"/>
    <col min="6673" max="6673" width="13" style="13" bestFit="1" customWidth="1"/>
    <col min="6674" max="6674" width="20.109375" style="13" bestFit="1" customWidth="1"/>
    <col min="6675" max="6675" width="50.33203125" style="13" bestFit="1" customWidth="1"/>
    <col min="6676" max="6676" width="16.109375" style="13" bestFit="1" customWidth="1"/>
    <col min="6677" max="6677" width="12.33203125" style="13" customWidth="1"/>
    <col min="6678" max="6678" width="18.88671875" style="13" bestFit="1" customWidth="1"/>
    <col min="6679" max="6679" width="16.6640625" style="13" customWidth="1"/>
    <col min="6680" max="6680" width="19" style="13" bestFit="1" customWidth="1"/>
    <col min="6681" max="6681" width="9.109375" style="13"/>
    <col min="6682" max="6682" width="18.88671875" style="13" bestFit="1" customWidth="1"/>
    <col min="6683" max="6912" width="9.109375" style="13"/>
    <col min="6913" max="6913" width="10.5546875" style="13" bestFit="1" customWidth="1"/>
    <col min="6914" max="6914" width="44.109375" style="13" customWidth="1"/>
    <col min="6915" max="6915" width="14.6640625" style="13" customWidth="1"/>
    <col min="6916" max="6916" width="23.6640625" style="13" bestFit="1" customWidth="1"/>
    <col min="6917" max="6917" width="11.88671875" style="13" customWidth="1"/>
    <col min="6918" max="6918" width="20.6640625" style="13" customWidth="1"/>
    <col min="6919" max="6919" width="15.6640625" style="13" customWidth="1"/>
    <col min="6920" max="6921" width="16.109375" style="13" bestFit="1" customWidth="1"/>
    <col min="6922" max="6922" width="13.6640625" style="13" customWidth="1"/>
    <col min="6923" max="6923" width="12.6640625" style="13" bestFit="1" customWidth="1"/>
    <col min="6924" max="6924" width="15.5546875" style="13" customWidth="1"/>
    <col min="6925" max="6925" width="16.109375" style="13" bestFit="1" customWidth="1"/>
    <col min="6926" max="6926" width="13.33203125" style="13" bestFit="1" customWidth="1"/>
    <col min="6927" max="6927" width="16.33203125" style="13" bestFit="1" customWidth="1"/>
    <col min="6928" max="6928" width="9.33203125" style="13" bestFit="1" customWidth="1"/>
    <col min="6929" max="6929" width="13" style="13" bestFit="1" customWidth="1"/>
    <col min="6930" max="6930" width="20.109375" style="13" bestFit="1" customWidth="1"/>
    <col min="6931" max="6931" width="50.33203125" style="13" bestFit="1" customWidth="1"/>
    <col min="6932" max="6932" width="16.109375" style="13" bestFit="1" customWidth="1"/>
    <col min="6933" max="6933" width="12.33203125" style="13" customWidth="1"/>
    <col min="6934" max="6934" width="18.88671875" style="13" bestFit="1" customWidth="1"/>
    <col min="6935" max="6935" width="16.6640625" style="13" customWidth="1"/>
    <col min="6936" max="6936" width="19" style="13" bestFit="1" customWidth="1"/>
    <col min="6937" max="6937" width="9.109375" style="13"/>
    <col min="6938" max="6938" width="18.88671875" style="13" bestFit="1" customWidth="1"/>
    <col min="6939" max="7168" width="9.109375" style="13"/>
    <col min="7169" max="7169" width="10.5546875" style="13" bestFit="1" customWidth="1"/>
    <col min="7170" max="7170" width="44.109375" style="13" customWidth="1"/>
    <col min="7171" max="7171" width="14.6640625" style="13" customWidth="1"/>
    <col min="7172" max="7172" width="23.6640625" style="13" bestFit="1" customWidth="1"/>
    <col min="7173" max="7173" width="11.88671875" style="13" customWidth="1"/>
    <col min="7174" max="7174" width="20.6640625" style="13" customWidth="1"/>
    <col min="7175" max="7175" width="15.6640625" style="13" customWidth="1"/>
    <col min="7176" max="7177" width="16.109375" style="13" bestFit="1" customWidth="1"/>
    <col min="7178" max="7178" width="13.6640625" style="13" customWidth="1"/>
    <col min="7179" max="7179" width="12.6640625" style="13" bestFit="1" customWidth="1"/>
    <col min="7180" max="7180" width="15.5546875" style="13" customWidth="1"/>
    <col min="7181" max="7181" width="16.109375" style="13" bestFit="1" customWidth="1"/>
    <col min="7182" max="7182" width="13.33203125" style="13" bestFit="1" customWidth="1"/>
    <col min="7183" max="7183" width="16.33203125" style="13" bestFit="1" customWidth="1"/>
    <col min="7184" max="7184" width="9.33203125" style="13" bestFit="1" customWidth="1"/>
    <col min="7185" max="7185" width="13" style="13" bestFit="1" customWidth="1"/>
    <col min="7186" max="7186" width="20.109375" style="13" bestFit="1" customWidth="1"/>
    <col min="7187" max="7187" width="50.33203125" style="13" bestFit="1" customWidth="1"/>
    <col min="7188" max="7188" width="16.109375" style="13" bestFit="1" customWidth="1"/>
    <col min="7189" max="7189" width="12.33203125" style="13" customWidth="1"/>
    <col min="7190" max="7190" width="18.88671875" style="13" bestFit="1" customWidth="1"/>
    <col min="7191" max="7191" width="16.6640625" style="13" customWidth="1"/>
    <col min="7192" max="7192" width="19" style="13" bestFit="1" customWidth="1"/>
    <col min="7193" max="7193" width="9.109375" style="13"/>
    <col min="7194" max="7194" width="18.88671875" style="13" bestFit="1" customWidth="1"/>
    <col min="7195" max="7424" width="9.109375" style="13"/>
    <col min="7425" max="7425" width="10.5546875" style="13" bestFit="1" customWidth="1"/>
    <col min="7426" max="7426" width="44.109375" style="13" customWidth="1"/>
    <col min="7427" max="7427" width="14.6640625" style="13" customWidth="1"/>
    <col min="7428" max="7428" width="23.6640625" style="13" bestFit="1" customWidth="1"/>
    <col min="7429" max="7429" width="11.88671875" style="13" customWidth="1"/>
    <col min="7430" max="7430" width="20.6640625" style="13" customWidth="1"/>
    <col min="7431" max="7431" width="15.6640625" style="13" customWidth="1"/>
    <col min="7432" max="7433" width="16.109375" style="13" bestFit="1" customWidth="1"/>
    <col min="7434" max="7434" width="13.6640625" style="13" customWidth="1"/>
    <col min="7435" max="7435" width="12.6640625" style="13" bestFit="1" customWidth="1"/>
    <col min="7436" max="7436" width="15.5546875" style="13" customWidth="1"/>
    <col min="7437" max="7437" width="16.109375" style="13" bestFit="1" customWidth="1"/>
    <col min="7438" max="7438" width="13.33203125" style="13" bestFit="1" customWidth="1"/>
    <col min="7439" max="7439" width="16.33203125" style="13" bestFit="1" customWidth="1"/>
    <col min="7440" max="7440" width="9.33203125" style="13" bestFit="1" customWidth="1"/>
    <col min="7441" max="7441" width="13" style="13" bestFit="1" customWidth="1"/>
    <col min="7442" max="7442" width="20.109375" style="13" bestFit="1" customWidth="1"/>
    <col min="7443" max="7443" width="50.33203125" style="13" bestFit="1" customWidth="1"/>
    <col min="7444" max="7444" width="16.109375" style="13" bestFit="1" customWidth="1"/>
    <col min="7445" max="7445" width="12.33203125" style="13" customWidth="1"/>
    <col min="7446" max="7446" width="18.88671875" style="13" bestFit="1" customWidth="1"/>
    <col min="7447" max="7447" width="16.6640625" style="13" customWidth="1"/>
    <col min="7448" max="7448" width="19" style="13" bestFit="1" customWidth="1"/>
    <col min="7449" max="7449" width="9.109375" style="13"/>
    <col min="7450" max="7450" width="18.88671875" style="13" bestFit="1" customWidth="1"/>
    <col min="7451" max="7680" width="9.109375" style="13"/>
    <col min="7681" max="7681" width="10.5546875" style="13" bestFit="1" customWidth="1"/>
    <col min="7682" max="7682" width="44.109375" style="13" customWidth="1"/>
    <col min="7683" max="7683" width="14.6640625" style="13" customWidth="1"/>
    <col min="7684" max="7684" width="23.6640625" style="13" bestFit="1" customWidth="1"/>
    <col min="7685" max="7685" width="11.88671875" style="13" customWidth="1"/>
    <col min="7686" max="7686" width="20.6640625" style="13" customWidth="1"/>
    <col min="7687" max="7687" width="15.6640625" style="13" customWidth="1"/>
    <col min="7688" max="7689" width="16.109375" style="13" bestFit="1" customWidth="1"/>
    <col min="7690" max="7690" width="13.6640625" style="13" customWidth="1"/>
    <col min="7691" max="7691" width="12.6640625" style="13" bestFit="1" customWidth="1"/>
    <col min="7692" max="7692" width="15.5546875" style="13" customWidth="1"/>
    <col min="7693" max="7693" width="16.109375" style="13" bestFit="1" customWidth="1"/>
    <col min="7694" max="7694" width="13.33203125" style="13" bestFit="1" customWidth="1"/>
    <col min="7695" max="7695" width="16.33203125" style="13" bestFit="1" customWidth="1"/>
    <col min="7696" max="7696" width="9.33203125" style="13" bestFit="1" customWidth="1"/>
    <col min="7697" max="7697" width="13" style="13" bestFit="1" customWidth="1"/>
    <col min="7698" max="7698" width="20.109375" style="13" bestFit="1" customWidth="1"/>
    <col min="7699" max="7699" width="50.33203125" style="13" bestFit="1" customWidth="1"/>
    <col min="7700" max="7700" width="16.109375" style="13" bestFit="1" customWidth="1"/>
    <col min="7701" max="7701" width="12.33203125" style="13" customWidth="1"/>
    <col min="7702" max="7702" width="18.88671875" style="13" bestFit="1" customWidth="1"/>
    <col min="7703" max="7703" width="16.6640625" style="13" customWidth="1"/>
    <col min="7704" max="7704" width="19" style="13" bestFit="1" customWidth="1"/>
    <col min="7705" max="7705" width="9.109375" style="13"/>
    <col min="7706" max="7706" width="18.88671875" style="13" bestFit="1" customWidth="1"/>
    <col min="7707" max="7936" width="9.109375" style="13"/>
    <col min="7937" max="7937" width="10.5546875" style="13" bestFit="1" customWidth="1"/>
    <col min="7938" max="7938" width="44.109375" style="13" customWidth="1"/>
    <col min="7939" max="7939" width="14.6640625" style="13" customWidth="1"/>
    <col min="7940" max="7940" width="23.6640625" style="13" bestFit="1" customWidth="1"/>
    <col min="7941" max="7941" width="11.88671875" style="13" customWidth="1"/>
    <col min="7942" max="7942" width="20.6640625" style="13" customWidth="1"/>
    <col min="7943" max="7943" width="15.6640625" style="13" customWidth="1"/>
    <col min="7944" max="7945" width="16.109375" style="13" bestFit="1" customWidth="1"/>
    <col min="7946" max="7946" width="13.6640625" style="13" customWidth="1"/>
    <col min="7947" max="7947" width="12.6640625" style="13" bestFit="1" customWidth="1"/>
    <col min="7948" max="7948" width="15.5546875" style="13" customWidth="1"/>
    <col min="7949" max="7949" width="16.109375" style="13" bestFit="1" customWidth="1"/>
    <col min="7950" max="7950" width="13.33203125" style="13" bestFit="1" customWidth="1"/>
    <col min="7951" max="7951" width="16.33203125" style="13" bestFit="1" customWidth="1"/>
    <col min="7952" max="7952" width="9.33203125" style="13" bestFit="1" customWidth="1"/>
    <col min="7953" max="7953" width="13" style="13" bestFit="1" customWidth="1"/>
    <col min="7954" max="7954" width="20.109375" style="13" bestFit="1" customWidth="1"/>
    <col min="7955" max="7955" width="50.33203125" style="13" bestFit="1" customWidth="1"/>
    <col min="7956" max="7956" width="16.109375" style="13" bestFit="1" customWidth="1"/>
    <col min="7957" max="7957" width="12.33203125" style="13" customWidth="1"/>
    <col min="7958" max="7958" width="18.88671875" style="13" bestFit="1" customWidth="1"/>
    <col min="7959" max="7959" width="16.6640625" style="13" customWidth="1"/>
    <col min="7960" max="7960" width="19" style="13" bestFit="1" customWidth="1"/>
    <col min="7961" max="7961" width="9.109375" style="13"/>
    <col min="7962" max="7962" width="18.88671875" style="13" bestFit="1" customWidth="1"/>
    <col min="7963" max="8192" width="9.109375" style="13"/>
    <col min="8193" max="8193" width="10.5546875" style="13" bestFit="1" customWidth="1"/>
    <col min="8194" max="8194" width="44.109375" style="13" customWidth="1"/>
    <col min="8195" max="8195" width="14.6640625" style="13" customWidth="1"/>
    <col min="8196" max="8196" width="23.6640625" style="13" bestFit="1" customWidth="1"/>
    <col min="8197" max="8197" width="11.88671875" style="13" customWidth="1"/>
    <col min="8198" max="8198" width="20.6640625" style="13" customWidth="1"/>
    <col min="8199" max="8199" width="15.6640625" style="13" customWidth="1"/>
    <col min="8200" max="8201" width="16.109375" style="13" bestFit="1" customWidth="1"/>
    <col min="8202" max="8202" width="13.6640625" style="13" customWidth="1"/>
    <col min="8203" max="8203" width="12.6640625" style="13" bestFit="1" customWidth="1"/>
    <col min="8204" max="8204" width="15.5546875" style="13" customWidth="1"/>
    <col min="8205" max="8205" width="16.109375" style="13" bestFit="1" customWidth="1"/>
    <col min="8206" max="8206" width="13.33203125" style="13" bestFit="1" customWidth="1"/>
    <col min="8207" max="8207" width="16.33203125" style="13" bestFit="1" customWidth="1"/>
    <col min="8208" max="8208" width="9.33203125" style="13" bestFit="1" customWidth="1"/>
    <col min="8209" max="8209" width="13" style="13" bestFit="1" customWidth="1"/>
    <col min="8210" max="8210" width="20.109375" style="13" bestFit="1" customWidth="1"/>
    <col min="8211" max="8211" width="50.33203125" style="13" bestFit="1" customWidth="1"/>
    <col min="8212" max="8212" width="16.109375" style="13" bestFit="1" customWidth="1"/>
    <col min="8213" max="8213" width="12.33203125" style="13" customWidth="1"/>
    <col min="8214" max="8214" width="18.88671875" style="13" bestFit="1" customWidth="1"/>
    <col min="8215" max="8215" width="16.6640625" style="13" customWidth="1"/>
    <col min="8216" max="8216" width="19" style="13" bestFit="1" customWidth="1"/>
    <col min="8217" max="8217" width="9.109375" style="13"/>
    <col min="8218" max="8218" width="18.88671875" style="13" bestFit="1" customWidth="1"/>
    <col min="8219" max="8448" width="9.109375" style="13"/>
    <col min="8449" max="8449" width="10.5546875" style="13" bestFit="1" customWidth="1"/>
    <col min="8450" max="8450" width="44.109375" style="13" customWidth="1"/>
    <col min="8451" max="8451" width="14.6640625" style="13" customWidth="1"/>
    <col min="8452" max="8452" width="23.6640625" style="13" bestFit="1" customWidth="1"/>
    <col min="8453" max="8453" width="11.88671875" style="13" customWidth="1"/>
    <col min="8454" max="8454" width="20.6640625" style="13" customWidth="1"/>
    <col min="8455" max="8455" width="15.6640625" style="13" customWidth="1"/>
    <col min="8456" max="8457" width="16.109375" style="13" bestFit="1" customWidth="1"/>
    <col min="8458" max="8458" width="13.6640625" style="13" customWidth="1"/>
    <col min="8459" max="8459" width="12.6640625" style="13" bestFit="1" customWidth="1"/>
    <col min="8460" max="8460" width="15.5546875" style="13" customWidth="1"/>
    <col min="8461" max="8461" width="16.109375" style="13" bestFit="1" customWidth="1"/>
    <col min="8462" max="8462" width="13.33203125" style="13" bestFit="1" customWidth="1"/>
    <col min="8463" max="8463" width="16.33203125" style="13" bestFit="1" customWidth="1"/>
    <col min="8464" max="8464" width="9.33203125" style="13" bestFit="1" customWidth="1"/>
    <col min="8465" max="8465" width="13" style="13" bestFit="1" customWidth="1"/>
    <col min="8466" max="8466" width="20.109375" style="13" bestFit="1" customWidth="1"/>
    <col min="8467" max="8467" width="50.33203125" style="13" bestFit="1" customWidth="1"/>
    <col min="8468" max="8468" width="16.109375" style="13" bestFit="1" customWidth="1"/>
    <col min="8469" max="8469" width="12.33203125" style="13" customWidth="1"/>
    <col min="8470" max="8470" width="18.88671875" style="13" bestFit="1" customWidth="1"/>
    <col min="8471" max="8471" width="16.6640625" style="13" customWidth="1"/>
    <col min="8472" max="8472" width="19" style="13" bestFit="1" customWidth="1"/>
    <col min="8473" max="8473" width="9.109375" style="13"/>
    <col min="8474" max="8474" width="18.88671875" style="13" bestFit="1" customWidth="1"/>
    <col min="8475" max="8704" width="9.109375" style="13"/>
    <col min="8705" max="8705" width="10.5546875" style="13" bestFit="1" customWidth="1"/>
    <col min="8706" max="8706" width="44.109375" style="13" customWidth="1"/>
    <col min="8707" max="8707" width="14.6640625" style="13" customWidth="1"/>
    <col min="8708" max="8708" width="23.6640625" style="13" bestFit="1" customWidth="1"/>
    <col min="8709" max="8709" width="11.88671875" style="13" customWidth="1"/>
    <col min="8710" max="8710" width="20.6640625" style="13" customWidth="1"/>
    <col min="8711" max="8711" width="15.6640625" style="13" customWidth="1"/>
    <col min="8712" max="8713" width="16.109375" style="13" bestFit="1" customWidth="1"/>
    <col min="8714" max="8714" width="13.6640625" style="13" customWidth="1"/>
    <col min="8715" max="8715" width="12.6640625" style="13" bestFit="1" customWidth="1"/>
    <col min="8716" max="8716" width="15.5546875" style="13" customWidth="1"/>
    <col min="8717" max="8717" width="16.109375" style="13" bestFit="1" customWidth="1"/>
    <col min="8718" max="8718" width="13.33203125" style="13" bestFit="1" customWidth="1"/>
    <col min="8719" max="8719" width="16.33203125" style="13" bestFit="1" customWidth="1"/>
    <col min="8720" max="8720" width="9.33203125" style="13" bestFit="1" customWidth="1"/>
    <col min="8721" max="8721" width="13" style="13" bestFit="1" customWidth="1"/>
    <col min="8722" max="8722" width="20.109375" style="13" bestFit="1" customWidth="1"/>
    <col min="8723" max="8723" width="50.33203125" style="13" bestFit="1" customWidth="1"/>
    <col min="8724" max="8724" width="16.109375" style="13" bestFit="1" customWidth="1"/>
    <col min="8725" max="8725" width="12.33203125" style="13" customWidth="1"/>
    <col min="8726" max="8726" width="18.88671875" style="13" bestFit="1" customWidth="1"/>
    <col min="8727" max="8727" width="16.6640625" style="13" customWidth="1"/>
    <col min="8728" max="8728" width="19" style="13" bestFit="1" customWidth="1"/>
    <col min="8729" max="8729" width="9.109375" style="13"/>
    <col min="8730" max="8730" width="18.88671875" style="13" bestFit="1" customWidth="1"/>
    <col min="8731" max="8960" width="9.109375" style="13"/>
    <col min="8961" max="8961" width="10.5546875" style="13" bestFit="1" customWidth="1"/>
    <col min="8962" max="8962" width="44.109375" style="13" customWidth="1"/>
    <col min="8963" max="8963" width="14.6640625" style="13" customWidth="1"/>
    <col min="8964" max="8964" width="23.6640625" style="13" bestFit="1" customWidth="1"/>
    <col min="8965" max="8965" width="11.88671875" style="13" customWidth="1"/>
    <col min="8966" max="8966" width="20.6640625" style="13" customWidth="1"/>
    <col min="8967" max="8967" width="15.6640625" style="13" customWidth="1"/>
    <col min="8968" max="8969" width="16.109375" style="13" bestFit="1" customWidth="1"/>
    <col min="8970" max="8970" width="13.6640625" style="13" customWidth="1"/>
    <col min="8971" max="8971" width="12.6640625" style="13" bestFit="1" customWidth="1"/>
    <col min="8972" max="8972" width="15.5546875" style="13" customWidth="1"/>
    <col min="8973" max="8973" width="16.109375" style="13" bestFit="1" customWidth="1"/>
    <col min="8974" max="8974" width="13.33203125" style="13" bestFit="1" customWidth="1"/>
    <col min="8975" max="8975" width="16.33203125" style="13" bestFit="1" customWidth="1"/>
    <col min="8976" max="8976" width="9.33203125" style="13" bestFit="1" customWidth="1"/>
    <col min="8977" max="8977" width="13" style="13" bestFit="1" customWidth="1"/>
    <col min="8978" max="8978" width="20.109375" style="13" bestFit="1" customWidth="1"/>
    <col min="8979" max="8979" width="50.33203125" style="13" bestFit="1" customWidth="1"/>
    <col min="8980" max="8980" width="16.109375" style="13" bestFit="1" customWidth="1"/>
    <col min="8981" max="8981" width="12.33203125" style="13" customWidth="1"/>
    <col min="8982" max="8982" width="18.88671875" style="13" bestFit="1" customWidth="1"/>
    <col min="8983" max="8983" width="16.6640625" style="13" customWidth="1"/>
    <col min="8984" max="8984" width="19" style="13" bestFit="1" customWidth="1"/>
    <col min="8985" max="8985" width="9.109375" style="13"/>
    <col min="8986" max="8986" width="18.88671875" style="13" bestFit="1" customWidth="1"/>
    <col min="8987" max="9216" width="9.109375" style="13"/>
    <col min="9217" max="9217" width="10.5546875" style="13" bestFit="1" customWidth="1"/>
    <col min="9218" max="9218" width="44.109375" style="13" customWidth="1"/>
    <col min="9219" max="9219" width="14.6640625" style="13" customWidth="1"/>
    <col min="9220" max="9220" width="23.6640625" style="13" bestFit="1" customWidth="1"/>
    <col min="9221" max="9221" width="11.88671875" style="13" customWidth="1"/>
    <col min="9222" max="9222" width="20.6640625" style="13" customWidth="1"/>
    <col min="9223" max="9223" width="15.6640625" style="13" customWidth="1"/>
    <col min="9224" max="9225" width="16.109375" style="13" bestFit="1" customWidth="1"/>
    <col min="9226" max="9226" width="13.6640625" style="13" customWidth="1"/>
    <col min="9227" max="9227" width="12.6640625" style="13" bestFit="1" customWidth="1"/>
    <col min="9228" max="9228" width="15.5546875" style="13" customWidth="1"/>
    <col min="9229" max="9229" width="16.109375" style="13" bestFit="1" customWidth="1"/>
    <col min="9230" max="9230" width="13.33203125" style="13" bestFit="1" customWidth="1"/>
    <col min="9231" max="9231" width="16.33203125" style="13" bestFit="1" customWidth="1"/>
    <col min="9232" max="9232" width="9.33203125" style="13" bestFit="1" customWidth="1"/>
    <col min="9233" max="9233" width="13" style="13" bestFit="1" customWidth="1"/>
    <col min="9234" max="9234" width="20.109375" style="13" bestFit="1" customWidth="1"/>
    <col min="9235" max="9235" width="50.33203125" style="13" bestFit="1" customWidth="1"/>
    <col min="9236" max="9236" width="16.109375" style="13" bestFit="1" customWidth="1"/>
    <col min="9237" max="9237" width="12.33203125" style="13" customWidth="1"/>
    <col min="9238" max="9238" width="18.88671875" style="13" bestFit="1" customWidth="1"/>
    <col min="9239" max="9239" width="16.6640625" style="13" customWidth="1"/>
    <col min="9240" max="9240" width="19" style="13" bestFit="1" customWidth="1"/>
    <col min="9241" max="9241" width="9.109375" style="13"/>
    <col min="9242" max="9242" width="18.88671875" style="13" bestFit="1" customWidth="1"/>
    <col min="9243" max="9472" width="9.109375" style="13"/>
    <col min="9473" max="9473" width="10.5546875" style="13" bestFit="1" customWidth="1"/>
    <col min="9474" max="9474" width="44.109375" style="13" customWidth="1"/>
    <col min="9475" max="9475" width="14.6640625" style="13" customWidth="1"/>
    <col min="9476" max="9476" width="23.6640625" style="13" bestFit="1" customWidth="1"/>
    <col min="9477" max="9477" width="11.88671875" style="13" customWidth="1"/>
    <col min="9478" max="9478" width="20.6640625" style="13" customWidth="1"/>
    <col min="9479" max="9479" width="15.6640625" style="13" customWidth="1"/>
    <col min="9480" max="9481" width="16.109375" style="13" bestFit="1" customWidth="1"/>
    <col min="9482" max="9482" width="13.6640625" style="13" customWidth="1"/>
    <col min="9483" max="9483" width="12.6640625" style="13" bestFit="1" customWidth="1"/>
    <col min="9484" max="9484" width="15.5546875" style="13" customWidth="1"/>
    <col min="9485" max="9485" width="16.109375" style="13" bestFit="1" customWidth="1"/>
    <col min="9486" max="9486" width="13.33203125" style="13" bestFit="1" customWidth="1"/>
    <col min="9487" max="9487" width="16.33203125" style="13" bestFit="1" customWidth="1"/>
    <col min="9488" max="9488" width="9.33203125" style="13" bestFit="1" customWidth="1"/>
    <col min="9489" max="9489" width="13" style="13" bestFit="1" customWidth="1"/>
    <col min="9490" max="9490" width="20.109375" style="13" bestFit="1" customWidth="1"/>
    <col min="9491" max="9491" width="50.33203125" style="13" bestFit="1" customWidth="1"/>
    <col min="9492" max="9492" width="16.109375" style="13" bestFit="1" customWidth="1"/>
    <col min="9493" max="9493" width="12.33203125" style="13" customWidth="1"/>
    <col min="9494" max="9494" width="18.88671875" style="13" bestFit="1" customWidth="1"/>
    <col min="9495" max="9495" width="16.6640625" style="13" customWidth="1"/>
    <col min="9496" max="9496" width="19" style="13" bestFit="1" customWidth="1"/>
    <col min="9497" max="9497" width="9.109375" style="13"/>
    <col min="9498" max="9498" width="18.88671875" style="13" bestFit="1" customWidth="1"/>
    <col min="9499" max="9728" width="9.109375" style="13"/>
    <col min="9729" max="9729" width="10.5546875" style="13" bestFit="1" customWidth="1"/>
    <col min="9730" max="9730" width="44.109375" style="13" customWidth="1"/>
    <col min="9731" max="9731" width="14.6640625" style="13" customWidth="1"/>
    <col min="9732" max="9732" width="23.6640625" style="13" bestFit="1" customWidth="1"/>
    <col min="9733" max="9733" width="11.88671875" style="13" customWidth="1"/>
    <col min="9734" max="9734" width="20.6640625" style="13" customWidth="1"/>
    <col min="9735" max="9735" width="15.6640625" style="13" customWidth="1"/>
    <col min="9736" max="9737" width="16.109375" style="13" bestFit="1" customWidth="1"/>
    <col min="9738" max="9738" width="13.6640625" style="13" customWidth="1"/>
    <col min="9739" max="9739" width="12.6640625" style="13" bestFit="1" customWidth="1"/>
    <col min="9740" max="9740" width="15.5546875" style="13" customWidth="1"/>
    <col min="9741" max="9741" width="16.109375" style="13" bestFit="1" customWidth="1"/>
    <col min="9742" max="9742" width="13.33203125" style="13" bestFit="1" customWidth="1"/>
    <col min="9743" max="9743" width="16.33203125" style="13" bestFit="1" customWidth="1"/>
    <col min="9744" max="9744" width="9.33203125" style="13" bestFit="1" customWidth="1"/>
    <col min="9745" max="9745" width="13" style="13" bestFit="1" customWidth="1"/>
    <col min="9746" max="9746" width="20.109375" style="13" bestFit="1" customWidth="1"/>
    <col min="9747" max="9747" width="50.33203125" style="13" bestFit="1" customWidth="1"/>
    <col min="9748" max="9748" width="16.109375" style="13" bestFit="1" customWidth="1"/>
    <col min="9749" max="9749" width="12.33203125" style="13" customWidth="1"/>
    <col min="9750" max="9750" width="18.88671875" style="13" bestFit="1" customWidth="1"/>
    <col min="9751" max="9751" width="16.6640625" style="13" customWidth="1"/>
    <col min="9752" max="9752" width="19" style="13" bestFit="1" customWidth="1"/>
    <col min="9753" max="9753" width="9.109375" style="13"/>
    <col min="9754" max="9754" width="18.88671875" style="13" bestFit="1" customWidth="1"/>
    <col min="9755" max="9984" width="9.109375" style="13"/>
    <col min="9985" max="9985" width="10.5546875" style="13" bestFit="1" customWidth="1"/>
    <col min="9986" max="9986" width="44.109375" style="13" customWidth="1"/>
    <col min="9987" max="9987" width="14.6640625" style="13" customWidth="1"/>
    <col min="9988" max="9988" width="23.6640625" style="13" bestFit="1" customWidth="1"/>
    <col min="9989" max="9989" width="11.88671875" style="13" customWidth="1"/>
    <col min="9990" max="9990" width="20.6640625" style="13" customWidth="1"/>
    <col min="9991" max="9991" width="15.6640625" style="13" customWidth="1"/>
    <col min="9992" max="9993" width="16.109375" style="13" bestFit="1" customWidth="1"/>
    <col min="9994" max="9994" width="13.6640625" style="13" customWidth="1"/>
    <col min="9995" max="9995" width="12.6640625" style="13" bestFit="1" customWidth="1"/>
    <col min="9996" max="9996" width="15.5546875" style="13" customWidth="1"/>
    <col min="9997" max="9997" width="16.109375" style="13" bestFit="1" customWidth="1"/>
    <col min="9998" max="9998" width="13.33203125" style="13" bestFit="1" customWidth="1"/>
    <col min="9999" max="9999" width="16.33203125" style="13" bestFit="1" customWidth="1"/>
    <col min="10000" max="10000" width="9.33203125" style="13" bestFit="1" customWidth="1"/>
    <col min="10001" max="10001" width="13" style="13" bestFit="1" customWidth="1"/>
    <col min="10002" max="10002" width="20.109375" style="13" bestFit="1" customWidth="1"/>
    <col min="10003" max="10003" width="50.33203125" style="13" bestFit="1" customWidth="1"/>
    <col min="10004" max="10004" width="16.109375" style="13" bestFit="1" customWidth="1"/>
    <col min="10005" max="10005" width="12.33203125" style="13" customWidth="1"/>
    <col min="10006" max="10006" width="18.88671875" style="13" bestFit="1" customWidth="1"/>
    <col min="10007" max="10007" width="16.6640625" style="13" customWidth="1"/>
    <col min="10008" max="10008" width="19" style="13" bestFit="1" customWidth="1"/>
    <col min="10009" max="10009" width="9.109375" style="13"/>
    <col min="10010" max="10010" width="18.88671875" style="13" bestFit="1" customWidth="1"/>
    <col min="10011" max="10240" width="9.109375" style="13"/>
    <col min="10241" max="10241" width="10.5546875" style="13" bestFit="1" customWidth="1"/>
    <col min="10242" max="10242" width="44.109375" style="13" customWidth="1"/>
    <col min="10243" max="10243" width="14.6640625" style="13" customWidth="1"/>
    <col min="10244" max="10244" width="23.6640625" style="13" bestFit="1" customWidth="1"/>
    <col min="10245" max="10245" width="11.88671875" style="13" customWidth="1"/>
    <col min="10246" max="10246" width="20.6640625" style="13" customWidth="1"/>
    <col min="10247" max="10247" width="15.6640625" style="13" customWidth="1"/>
    <col min="10248" max="10249" width="16.109375" style="13" bestFit="1" customWidth="1"/>
    <col min="10250" max="10250" width="13.6640625" style="13" customWidth="1"/>
    <col min="10251" max="10251" width="12.6640625" style="13" bestFit="1" customWidth="1"/>
    <col min="10252" max="10252" width="15.5546875" style="13" customWidth="1"/>
    <col min="10253" max="10253" width="16.109375" style="13" bestFit="1" customWidth="1"/>
    <col min="10254" max="10254" width="13.33203125" style="13" bestFit="1" customWidth="1"/>
    <col min="10255" max="10255" width="16.33203125" style="13" bestFit="1" customWidth="1"/>
    <col min="10256" max="10256" width="9.33203125" style="13" bestFit="1" customWidth="1"/>
    <col min="10257" max="10257" width="13" style="13" bestFit="1" customWidth="1"/>
    <col min="10258" max="10258" width="20.109375" style="13" bestFit="1" customWidth="1"/>
    <col min="10259" max="10259" width="50.33203125" style="13" bestFit="1" customWidth="1"/>
    <col min="10260" max="10260" width="16.109375" style="13" bestFit="1" customWidth="1"/>
    <col min="10261" max="10261" width="12.33203125" style="13" customWidth="1"/>
    <col min="10262" max="10262" width="18.88671875" style="13" bestFit="1" customWidth="1"/>
    <col min="10263" max="10263" width="16.6640625" style="13" customWidth="1"/>
    <col min="10264" max="10264" width="19" style="13" bestFit="1" customWidth="1"/>
    <col min="10265" max="10265" width="9.109375" style="13"/>
    <col min="10266" max="10266" width="18.88671875" style="13" bestFit="1" customWidth="1"/>
    <col min="10267" max="10496" width="9.109375" style="13"/>
    <col min="10497" max="10497" width="10.5546875" style="13" bestFit="1" customWidth="1"/>
    <col min="10498" max="10498" width="44.109375" style="13" customWidth="1"/>
    <col min="10499" max="10499" width="14.6640625" style="13" customWidth="1"/>
    <col min="10500" max="10500" width="23.6640625" style="13" bestFit="1" customWidth="1"/>
    <col min="10501" max="10501" width="11.88671875" style="13" customWidth="1"/>
    <col min="10502" max="10502" width="20.6640625" style="13" customWidth="1"/>
    <col min="10503" max="10503" width="15.6640625" style="13" customWidth="1"/>
    <col min="10504" max="10505" width="16.109375" style="13" bestFit="1" customWidth="1"/>
    <col min="10506" max="10506" width="13.6640625" style="13" customWidth="1"/>
    <col min="10507" max="10507" width="12.6640625" style="13" bestFit="1" customWidth="1"/>
    <col min="10508" max="10508" width="15.5546875" style="13" customWidth="1"/>
    <col min="10509" max="10509" width="16.109375" style="13" bestFit="1" customWidth="1"/>
    <col min="10510" max="10510" width="13.33203125" style="13" bestFit="1" customWidth="1"/>
    <col min="10511" max="10511" width="16.33203125" style="13" bestFit="1" customWidth="1"/>
    <col min="10512" max="10512" width="9.33203125" style="13" bestFit="1" customWidth="1"/>
    <col min="10513" max="10513" width="13" style="13" bestFit="1" customWidth="1"/>
    <col min="10514" max="10514" width="20.109375" style="13" bestFit="1" customWidth="1"/>
    <col min="10515" max="10515" width="50.33203125" style="13" bestFit="1" customWidth="1"/>
    <col min="10516" max="10516" width="16.109375" style="13" bestFit="1" customWidth="1"/>
    <col min="10517" max="10517" width="12.33203125" style="13" customWidth="1"/>
    <col min="10518" max="10518" width="18.88671875" style="13" bestFit="1" customWidth="1"/>
    <col min="10519" max="10519" width="16.6640625" style="13" customWidth="1"/>
    <col min="10520" max="10520" width="19" style="13" bestFit="1" customWidth="1"/>
    <col min="10521" max="10521" width="9.109375" style="13"/>
    <col min="10522" max="10522" width="18.88671875" style="13" bestFit="1" customWidth="1"/>
    <col min="10523" max="10752" width="9.109375" style="13"/>
    <col min="10753" max="10753" width="10.5546875" style="13" bestFit="1" customWidth="1"/>
    <col min="10754" max="10754" width="44.109375" style="13" customWidth="1"/>
    <col min="10755" max="10755" width="14.6640625" style="13" customWidth="1"/>
    <col min="10756" max="10756" width="23.6640625" style="13" bestFit="1" customWidth="1"/>
    <col min="10757" max="10757" width="11.88671875" style="13" customWidth="1"/>
    <col min="10758" max="10758" width="20.6640625" style="13" customWidth="1"/>
    <col min="10759" max="10759" width="15.6640625" style="13" customWidth="1"/>
    <col min="10760" max="10761" width="16.109375" style="13" bestFit="1" customWidth="1"/>
    <col min="10762" max="10762" width="13.6640625" style="13" customWidth="1"/>
    <col min="10763" max="10763" width="12.6640625" style="13" bestFit="1" customWidth="1"/>
    <col min="10764" max="10764" width="15.5546875" style="13" customWidth="1"/>
    <col min="10765" max="10765" width="16.109375" style="13" bestFit="1" customWidth="1"/>
    <col min="10766" max="10766" width="13.33203125" style="13" bestFit="1" customWidth="1"/>
    <col min="10767" max="10767" width="16.33203125" style="13" bestFit="1" customWidth="1"/>
    <col min="10768" max="10768" width="9.33203125" style="13" bestFit="1" customWidth="1"/>
    <col min="10769" max="10769" width="13" style="13" bestFit="1" customWidth="1"/>
    <col min="10770" max="10770" width="20.109375" style="13" bestFit="1" customWidth="1"/>
    <col min="10771" max="10771" width="50.33203125" style="13" bestFit="1" customWidth="1"/>
    <col min="10772" max="10772" width="16.109375" style="13" bestFit="1" customWidth="1"/>
    <col min="10773" max="10773" width="12.33203125" style="13" customWidth="1"/>
    <col min="10774" max="10774" width="18.88671875" style="13" bestFit="1" customWidth="1"/>
    <col min="10775" max="10775" width="16.6640625" style="13" customWidth="1"/>
    <col min="10776" max="10776" width="19" style="13" bestFit="1" customWidth="1"/>
    <col min="10777" max="10777" width="9.109375" style="13"/>
    <col min="10778" max="10778" width="18.88671875" style="13" bestFit="1" customWidth="1"/>
    <col min="10779" max="11008" width="9.109375" style="13"/>
    <col min="11009" max="11009" width="10.5546875" style="13" bestFit="1" customWidth="1"/>
    <col min="11010" max="11010" width="44.109375" style="13" customWidth="1"/>
    <col min="11011" max="11011" width="14.6640625" style="13" customWidth="1"/>
    <col min="11012" max="11012" width="23.6640625" style="13" bestFit="1" customWidth="1"/>
    <col min="11013" max="11013" width="11.88671875" style="13" customWidth="1"/>
    <col min="11014" max="11014" width="20.6640625" style="13" customWidth="1"/>
    <col min="11015" max="11015" width="15.6640625" style="13" customWidth="1"/>
    <col min="11016" max="11017" width="16.109375" style="13" bestFit="1" customWidth="1"/>
    <col min="11018" max="11018" width="13.6640625" style="13" customWidth="1"/>
    <col min="11019" max="11019" width="12.6640625" style="13" bestFit="1" customWidth="1"/>
    <col min="11020" max="11020" width="15.5546875" style="13" customWidth="1"/>
    <col min="11021" max="11021" width="16.109375" style="13" bestFit="1" customWidth="1"/>
    <col min="11022" max="11022" width="13.33203125" style="13" bestFit="1" customWidth="1"/>
    <col min="11023" max="11023" width="16.33203125" style="13" bestFit="1" customWidth="1"/>
    <col min="11024" max="11024" width="9.33203125" style="13" bestFit="1" customWidth="1"/>
    <col min="11025" max="11025" width="13" style="13" bestFit="1" customWidth="1"/>
    <col min="11026" max="11026" width="20.109375" style="13" bestFit="1" customWidth="1"/>
    <col min="11027" max="11027" width="50.33203125" style="13" bestFit="1" customWidth="1"/>
    <col min="11028" max="11028" width="16.109375" style="13" bestFit="1" customWidth="1"/>
    <col min="11029" max="11029" width="12.33203125" style="13" customWidth="1"/>
    <col min="11030" max="11030" width="18.88671875" style="13" bestFit="1" customWidth="1"/>
    <col min="11031" max="11031" width="16.6640625" style="13" customWidth="1"/>
    <col min="11032" max="11032" width="19" style="13" bestFit="1" customWidth="1"/>
    <col min="11033" max="11033" width="9.109375" style="13"/>
    <col min="11034" max="11034" width="18.88671875" style="13" bestFit="1" customWidth="1"/>
    <col min="11035" max="11264" width="9.109375" style="13"/>
    <col min="11265" max="11265" width="10.5546875" style="13" bestFit="1" customWidth="1"/>
    <col min="11266" max="11266" width="44.109375" style="13" customWidth="1"/>
    <col min="11267" max="11267" width="14.6640625" style="13" customWidth="1"/>
    <col min="11268" max="11268" width="23.6640625" style="13" bestFit="1" customWidth="1"/>
    <col min="11269" max="11269" width="11.88671875" style="13" customWidth="1"/>
    <col min="11270" max="11270" width="20.6640625" style="13" customWidth="1"/>
    <col min="11271" max="11271" width="15.6640625" style="13" customWidth="1"/>
    <col min="11272" max="11273" width="16.109375" style="13" bestFit="1" customWidth="1"/>
    <col min="11274" max="11274" width="13.6640625" style="13" customWidth="1"/>
    <col min="11275" max="11275" width="12.6640625" style="13" bestFit="1" customWidth="1"/>
    <col min="11276" max="11276" width="15.5546875" style="13" customWidth="1"/>
    <col min="11277" max="11277" width="16.109375" style="13" bestFit="1" customWidth="1"/>
    <col min="11278" max="11278" width="13.33203125" style="13" bestFit="1" customWidth="1"/>
    <col min="11279" max="11279" width="16.33203125" style="13" bestFit="1" customWidth="1"/>
    <col min="11280" max="11280" width="9.33203125" style="13" bestFit="1" customWidth="1"/>
    <col min="11281" max="11281" width="13" style="13" bestFit="1" customWidth="1"/>
    <col min="11282" max="11282" width="20.109375" style="13" bestFit="1" customWidth="1"/>
    <col min="11283" max="11283" width="50.33203125" style="13" bestFit="1" customWidth="1"/>
    <col min="11284" max="11284" width="16.109375" style="13" bestFit="1" customWidth="1"/>
    <col min="11285" max="11285" width="12.33203125" style="13" customWidth="1"/>
    <col min="11286" max="11286" width="18.88671875" style="13" bestFit="1" customWidth="1"/>
    <col min="11287" max="11287" width="16.6640625" style="13" customWidth="1"/>
    <col min="11288" max="11288" width="19" style="13" bestFit="1" customWidth="1"/>
    <col min="11289" max="11289" width="9.109375" style="13"/>
    <col min="11290" max="11290" width="18.88671875" style="13" bestFit="1" customWidth="1"/>
    <col min="11291" max="11520" width="9.109375" style="13"/>
    <col min="11521" max="11521" width="10.5546875" style="13" bestFit="1" customWidth="1"/>
    <col min="11522" max="11522" width="44.109375" style="13" customWidth="1"/>
    <col min="11523" max="11523" width="14.6640625" style="13" customWidth="1"/>
    <col min="11524" max="11524" width="23.6640625" style="13" bestFit="1" customWidth="1"/>
    <col min="11525" max="11525" width="11.88671875" style="13" customWidth="1"/>
    <col min="11526" max="11526" width="20.6640625" style="13" customWidth="1"/>
    <col min="11527" max="11527" width="15.6640625" style="13" customWidth="1"/>
    <col min="11528" max="11529" width="16.109375" style="13" bestFit="1" customWidth="1"/>
    <col min="11530" max="11530" width="13.6640625" style="13" customWidth="1"/>
    <col min="11531" max="11531" width="12.6640625" style="13" bestFit="1" customWidth="1"/>
    <col min="11532" max="11532" width="15.5546875" style="13" customWidth="1"/>
    <col min="11533" max="11533" width="16.109375" style="13" bestFit="1" customWidth="1"/>
    <col min="11534" max="11534" width="13.33203125" style="13" bestFit="1" customWidth="1"/>
    <col min="11535" max="11535" width="16.33203125" style="13" bestFit="1" customWidth="1"/>
    <col min="11536" max="11536" width="9.33203125" style="13" bestFit="1" customWidth="1"/>
    <col min="11537" max="11537" width="13" style="13" bestFit="1" customWidth="1"/>
    <col min="11538" max="11538" width="20.109375" style="13" bestFit="1" customWidth="1"/>
    <col min="11539" max="11539" width="50.33203125" style="13" bestFit="1" customWidth="1"/>
    <col min="11540" max="11540" width="16.109375" style="13" bestFit="1" customWidth="1"/>
    <col min="11541" max="11541" width="12.33203125" style="13" customWidth="1"/>
    <col min="11542" max="11542" width="18.88671875" style="13" bestFit="1" customWidth="1"/>
    <col min="11543" max="11543" width="16.6640625" style="13" customWidth="1"/>
    <col min="11544" max="11544" width="19" style="13" bestFit="1" customWidth="1"/>
    <col min="11545" max="11545" width="9.109375" style="13"/>
    <col min="11546" max="11546" width="18.88671875" style="13" bestFit="1" customWidth="1"/>
    <col min="11547" max="11776" width="9.109375" style="13"/>
    <col min="11777" max="11777" width="10.5546875" style="13" bestFit="1" customWidth="1"/>
    <col min="11778" max="11778" width="44.109375" style="13" customWidth="1"/>
    <col min="11779" max="11779" width="14.6640625" style="13" customWidth="1"/>
    <col min="11780" max="11780" width="23.6640625" style="13" bestFit="1" customWidth="1"/>
    <col min="11781" max="11781" width="11.88671875" style="13" customWidth="1"/>
    <col min="11782" max="11782" width="20.6640625" style="13" customWidth="1"/>
    <col min="11783" max="11783" width="15.6640625" style="13" customWidth="1"/>
    <col min="11784" max="11785" width="16.109375" style="13" bestFit="1" customWidth="1"/>
    <col min="11786" max="11786" width="13.6640625" style="13" customWidth="1"/>
    <col min="11787" max="11787" width="12.6640625" style="13" bestFit="1" customWidth="1"/>
    <col min="11788" max="11788" width="15.5546875" style="13" customWidth="1"/>
    <col min="11789" max="11789" width="16.109375" style="13" bestFit="1" customWidth="1"/>
    <col min="11790" max="11790" width="13.33203125" style="13" bestFit="1" customWidth="1"/>
    <col min="11791" max="11791" width="16.33203125" style="13" bestFit="1" customWidth="1"/>
    <col min="11792" max="11792" width="9.33203125" style="13" bestFit="1" customWidth="1"/>
    <col min="11793" max="11793" width="13" style="13" bestFit="1" customWidth="1"/>
    <col min="11794" max="11794" width="20.109375" style="13" bestFit="1" customWidth="1"/>
    <col min="11795" max="11795" width="50.33203125" style="13" bestFit="1" customWidth="1"/>
    <col min="11796" max="11796" width="16.109375" style="13" bestFit="1" customWidth="1"/>
    <col min="11797" max="11797" width="12.33203125" style="13" customWidth="1"/>
    <col min="11798" max="11798" width="18.88671875" style="13" bestFit="1" customWidth="1"/>
    <col min="11799" max="11799" width="16.6640625" style="13" customWidth="1"/>
    <col min="11800" max="11800" width="19" style="13" bestFit="1" customWidth="1"/>
    <col min="11801" max="11801" width="9.109375" style="13"/>
    <col min="11802" max="11802" width="18.88671875" style="13" bestFit="1" customWidth="1"/>
    <col min="11803" max="12032" width="9.109375" style="13"/>
    <col min="12033" max="12033" width="10.5546875" style="13" bestFit="1" customWidth="1"/>
    <col min="12034" max="12034" width="44.109375" style="13" customWidth="1"/>
    <col min="12035" max="12035" width="14.6640625" style="13" customWidth="1"/>
    <col min="12036" max="12036" width="23.6640625" style="13" bestFit="1" customWidth="1"/>
    <col min="12037" max="12037" width="11.88671875" style="13" customWidth="1"/>
    <col min="12038" max="12038" width="20.6640625" style="13" customWidth="1"/>
    <col min="12039" max="12039" width="15.6640625" style="13" customWidth="1"/>
    <col min="12040" max="12041" width="16.109375" style="13" bestFit="1" customWidth="1"/>
    <col min="12042" max="12042" width="13.6640625" style="13" customWidth="1"/>
    <col min="12043" max="12043" width="12.6640625" style="13" bestFit="1" customWidth="1"/>
    <col min="12044" max="12044" width="15.5546875" style="13" customWidth="1"/>
    <col min="12045" max="12045" width="16.109375" style="13" bestFit="1" customWidth="1"/>
    <col min="12046" max="12046" width="13.33203125" style="13" bestFit="1" customWidth="1"/>
    <col min="12047" max="12047" width="16.33203125" style="13" bestFit="1" customWidth="1"/>
    <col min="12048" max="12048" width="9.33203125" style="13" bestFit="1" customWidth="1"/>
    <col min="12049" max="12049" width="13" style="13" bestFit="1" customWidth="1"/>
    <col min="12050" max="12050" width="20.109375" style="13" bestFit="1" customWidth="1"/>
    <col min="12051" max="12051" width="50.33203125" style="13" bestFit="1" customWidth="1"/>
    <col min="12052" max="12052" width="16.109375" style="13" bestFit="1" customWidth="1"/>
    <col min="12053" max="12053" width="12.33203125" style="13" customWidth="1"/>
    <col min="12054" max="12054" width="18.88671875" style="13" bestFit="1" customWidth="1"/>
    <col min="12055" max="12055" width="16.6640625" style="13" customWidth="1"/>
    <col min="12056" max="12056" width="19" style="13" bestFit="1" customWidth="1"/>
    <col min="12057" max="12057" width="9.109375" style="13"/>
    <col min="12058" max="12058" width="18.88671875" style="13" bestFit="1" customWidth="1"/>
    <col min="12059" max="12288" width="9.109375" style="13"/>
    <col min="12289" max="12289" width="10.5546875" style="13" bestFit="1" customWidth="1"/>
    <col min="12290" max="12290" width="44.109375" style="13" customWidth="1"/>
    <col min="12291" max="12291" width="14.6640625" style="13" customWidth="1"/>
    <col min="12292" max="12292" width="23.6640625" style="13" bestFit="1" customWidth="1"/>
    <col min="12293" max="12293" width="11.88671875" style="13" customWidth="1"/>
    <col min="12294" max="12294" width="20.6640625" style="13" customWidth="1"/>
    <col min="12295" max="12295" width="15.6640625" style="13" customWidth="1"/>
    <col min="12296" max="12297" width="16.109375" style="13" bestFit="1" customWidth="1"/>
    <col min="12298" max="12298" width="13.6640625" style="13" customWidth="1"/>
    <col min="12299" max="12299" width="12.6640625" style="13" bestFit="1" customWidth="1"/>
    <col min="12300" max="12300" width="15.5546875" style="13" customWidth="1"/>
    <col min="12301" max="12301" width="16.109375" style="13" bestFit="1" customWidth="1"/>
    <col min="12302" max="12302" width="13.33203125" style="13" bestFit="1" customWidth="1"/>
    <col min="12303" max="12303" width="16.33203125" style="13" bestFit="1" customWidth="1"/>
    <col min="12304" max="12304" width="9.33203125" style="13" bestFit="1" customWidth="1"/>
    <col min="12305" max="12305" width="13" style="13" bestFit="1" customWidth="1"/>
    <col min="12306" max="12306" width="20.109375" style="13" bestFit="1" customWidth="1"/>
    <col min="12307" max="12307" width="50.33203125" style="13" bestFit="1" customWidth="1"/>
    <col min="12308" max="12308" width="16.109375" style="13" bestFit="1" customWidth="1"/>
    <col min="12309" max="12309" width="12.33203125" style="13" customWidth="1"/>
    <col min="12310" max="12310" width="18.88671875" style="13" bestFit="1" customWidth="1"/>
    <col min="12311" max="12311" width="16.6640625" style="13" customWidth="1"/>
    <col min="12312" max="12312" width="19" style="13" bestFit="1" customWidth="1"/>
    <col min="12313" max="12313" width="9.109375" style="13"/>
    <col min="12314" max="12314" width="18.88671875" style="13" bestFit="1" customWidth="1"/>
    <col min="12315" max="12544" width="9.109375" style="13"/>
    <col min="12545" max="12545" width="10.5546875" style="13" bestFit="1" customWidth="1"/>
    <col min="12546" max="12546" width="44.109375" style="13" customWidth="1"/>
    <col min="12547" max="12547" width="14.6640625" style="13" customWidth="1"/>
    <col min="12548" max="12548" width="23.6640625" style="13" bestFit="1" customWidth="1"/>
    <col min="12549" max="12549" width="11.88671875" style="13" customWidth="1"/>
    <col min="12550" max="12550" width="20.6640625" style="13" customWidth="1"/>
    <col min="12551" max="12551" width="15.6640625" style="13" customWidth="1"/>
    <col min="12552" max="12553" width="16.109375" style="13" bestFit="1" customWidth="1"/>
    <col min="12554" max="12554" width="13.6640625" style="13" customWidth="1"/>
    <col min="12555" max="12555" width="12.6640625" style="13" bestFit="1" customWidth="1"/>
    <col min="12556" max="12556" width="15.5546875" style="13" customWidth="1"/>
    <col min="12557" max="12557" width="16.109375" style="13" bestFit="1" customWidth="1"/>
    <col min="12558" max="12558" width="13.33203125" style="13" bestFit="1" customWidth="1"/>
    <col min="12559" max="12559" width="16.33203125" style="13" bestFit="1" customWidth="1"/>
    <col min="12560" max="12560" width="9.33203125" style="13" bestFit="1" customWidth="1"/>
    <col min="12561" max="12561" width="13" style="13" bestFit="1" customWidth="1"/>
    <col min="12562" max="12562" width="20.109375" style="13" bestFit="1" customWidth="1"/>
    <col min="12563" max="12563" width="50.33203125" style="13" bestFit="1" customWidth="1"/>
    <col min="12564" max="12564" width="16.109375" style="13" bestFit="1" customWidth="1"/>
    <col min="12565" max="12565" width="12.33203125" style="13" customWidth="1"/>
    <col min="12566" max="12566" width="18.88671875" style="13" bestFit="1" customWidth="1"/>
    <col min="12567" max="12567" width="16.6640625" style="13" customWidth="1"/>
    <col min="12568" max="12568" width="19" style="13" bestFit="1" customWidth="1"/>
    <col min="12569" max="12569" width="9.109375" style="13"/>
    <col min="12570" max="12570" width="18.88671875" style="13" bestFit="1" customWidth="1"/>
    <col min="12571" max="12800" width="9.109375" style="13"/>
    <col min="12801" max="12801" width="10.5546875" style="13" bestFit="1" customWidth="1"/>
    <col min="12802" max="12802" width="44.109375" style="13" customWidth="1"/>
    <col min="12803" max="12803" width="14.6640625" style="13" customWidth="1"/>
    <col min="12804" max="12804" width="23.6640625" style="13" bestFit="1" customWidth="1"/>
    <col min="12805" max="12805" width="11.88671875" style="13" customWidth="1"/>
    <col min="12806" max="12806" width="20.6640625" style="13" customWidth="1"/>
    <col min="12807" max="12807" width="15.6640625" style="13" customWidth="1"/>
    <col min="12808" max="12809" width="16.109375" style="13" bestFit="1" customWidth="1"/>
    <col min="12810" max="12810" width="13.6640625" style="13" customWidth="1"/>
    <col min="12811" max="12811" width="12.6640625" style="13" bestFit="1" customWidth="1"/>
    <col min="12812" max="12812" width="15.5546875" style="13" customWidth="1"/>
    <col min="12813" max="12813" width="16.109375" style="13" bestFit="1" customWidth="1"/>
    <col min="12814" max="12814" width="13.33203125" style="13" bestFit="1" customWidth="1"/>
    <col min="12815" max="12815" width="16.33203125" style="13" bestFit="1" customWidth="1"/>
    <col min="12816" max="12816" width="9.33203125" style="13" bestFit="1" customWidth="1"/>
    <col min="12817" max="12817" width="13" style="13" bestFit="1" customWidth="1"/>
    <col min="12818" max="12818" width="20.109375" style="13" bestFit="1" customWidth="1"/>
    <col min="12819" max="12819" width="50.33203125" style="13" bestFit="1" customWidth="1"/>
    <col min="12820" max="12820" width="16.109375" style="13" bestFit="1" customWidth="1"/>
    <col min="12821" max="12821" width="12.33203125" style="13" customWidth="1"/>
    <col min="12822" max="12822" width="18.88671875" style="13" bestFit="1" customWidth="1"/>
    <col min="12823" max="12823" width="16.6640625" style="13" customWidth="1"/>
    <col min="12824" max="12824" width="19" style="13" bestFit="1" customWidth="1"/>
    <col min="12825" max="12825" width="9.109375" style="13"/>
    <col min="12826" max="12826" width="18.88671875" style="13" bestFit="1" customWidth="1"/>
    <col min="12827" max="13056" width="9.109375" style="13"/>
    <col min="13057" max="13057" width="10.5546875" style="13" bestFit="1" customWidth="1"/>
    <col min="13058" max="13058" width="44.109375" style="13" customWidth="1"/>
    <col min="13059" max="13059" width="14.6640625" style="13" customWidth="1"/>
    <col min="13060" max="13060" width="23.6640625" style="13" bestFit="1" customWidth="1"/>
    <col min="13061" max="13061" width="11.88671875" style="13" customWidth="1"/>
    <col min="13062" max="13062" width="20.6640625" style="13" customWidth="1"/>
    <col min="13063" max="13063" width="15.6640625" style="13" customWidth="1"/>
    <col min="13064" max="13065" width="16.109375" style="13" bestFit="1" customWidth="1"/>
    <col min="13066" max="13066" width="13.6640625" style="13" customWidth="1"/>
    <col min="13067" max="13067" width="12.6640625" style="13" bestFit="1" customWidth="1"/>
    <col min="13068" max="13068" width="15.5546875" style="13" customWidth="1"/>
    <col min="13069" max="13069" width="16.109375" style="13" bestFit="1" customWidth="1"/>
    <col min="13070" max="13070" width="13.33203125" style="13" bestFit="1" customWidth="1"/>
    <col min="13071" max="13071" width="16.33203125" style="13" bestFit="1" customWidth="1"/>
    <col min="13072" max="13072" width="9.33203125" style="13" bestFit="1" customWidth="1"/>
    <col min="13073" max="13073" width="13" style="13" bestFit="1" customWidth="1"/>
    <col min="13074" max="13074" width="20.109375" style="13" bestFit="1" customWidth="1"/>
    <col min="13075" max="13075" width="50.33203125" style="13" bestFit="1" customWidth="1"/>
    <col min="13076" max="13076" width="16.109375" style="13" bestFit="1" customWidth="1"/>
    <col min="13077" max="13077" width="12.33203125" style="13" customWidth="1"/>
    <col min="13078" max="13078" width="18.88671875" style="13" bestFit="1" customWidth="1"/>
    <col min="13079" max="13079" width="16.6640625" style="13" customWidth="1"/>
    <col min="13080" max="13080" width="19" style="13" bestFit="1" customWidth="1"/>
    <col min="13081" max="13081" width="9.109375" style="13"/>
    <col min="13082" max="13082" width="18.88671875" style="13" bestFit="1" customWidth="1"/>
    <col min="13083" max="13312" width="9.109375" style="13"/>
    <col min="13313" max="13313" width="10.5546875" style="13" bestFit="1" customWidth="1"/>
    <col min="13314" max="13314" width="44.109375" style="13" customWidth="1"/>
    <col min="13315" max="13315" width="14.6640625" style="13" customWidth="1"/>
    <col min="13316" max="13316" width="23.6640625" style="13" bestFit="1" customWidth="1"/>
    <col min="13317" max="13317" width="11.88671875" style="13" customWidth="1"/>
    <col min="13318" max="13318" width="20.6640625" style="13" customWidth="1"/>
    <col min="13319" max="13319" width="15.6640625" style="13" customWidth="1"/>
    <col min="13320" max="13321" width="16.109375" style="13" bestFit="1" customWidth="1"/>
    <col min="13322" max="13322" width="13.6640625" style="13" customWidth="1"/>
    <col min="13323" max="13323" width="12.6640625" style="13" bestFit="1" customWidth="1"/>
    <col min="13324" max="13324" width="15.5546875" style="13" customWidth="1"/>
    <col min="13325" max="13325" width="16.109375" style="13" bestFit="1" customWidth="1"/>
    <col min="13326" max="13326" width="13.33203125" style="13" bestFit="1" customWidth="1"/>
    <col min="13327" max="13327" width="16.33203125" style="13" bestFit="1" customWidth="1"/>
    <col min="13328" max="13328" width="9.33203125" style="13" bestFit="1" customWidth="1"/>
    <col min="13329" max="13329" width="13" style="13" bestFit="1" customWidth="1"/>
    <col min="13330" max="13330" width="20.109375" style="13" bestFit="1" customWidth="1"/>
    <col min="13331" max="13331" width="50.33203125" style="13" bestFit="1" customWidth="1"/>
    <col min="13332" max="13332" width="16.109375" style="13" bestFit="1" customWidth="1"/>
    <col min="13333" max="13333" width="12.33203125" style="13" customWidth="1"/>
    <col min="13334" max="13334" width="18.88671875" style="13" bestFit="1" customWidth="1"/>
    <col min="13335" max="13335" width="16.6640625" style="13" customWidth="1"/>
    <col min="13336" max="13336" width="19" style="13" bestFit="1" customWidth="1"/>
    <col min="13337" max="13337" width="9.109375" style="13"/>
    <col min="13338" max="13338" width="18.88671875" style="13" bestFit="1" customWidth="1"/>
    <col min="13339" max="13568" width="9.109375" style="13"/>
    <col min="13569" max="13569" width="10.5546875" style="13" bestFit="1" customWidth="1"/>
    <col min="13570" max="13570" width="44.109375" style="13" customWidth="1"/>
    <col min="13571" max="13571" width="14.6640625" style="13" customWidth="1"/>
    <col min="13572" max="13572" width="23.6640625" style="13" bestFit="1" customWidth="1"/>
    <col min="13573" max="13573" width="11.88671875" style="13" customWidth="1"/>
    <col min="13574" max="13574" width="20.6640625" style="13" customWidth="1"/>
    <col min="13575" max="13575" width="15.6640625" style="13" customWidth="1"/>
    <col min="13576" max="13577" width="16.109375" style="13" bestFit="1" customWidth="1"/>
    <col min="13578" max="13578" width="13.6640625" style="13" customWidth="1"/>
    <col min="13579" max="13579" width="12.6640625" style="13" bestFit="1" customWidth="1"/>
    <col min="13580" max="13580" width="15.5546875" style="13" customWidth="1"/>
    <col min="13581" max="13581" width="16.109375" style="13" bestFit="1" customWidth="1"/>
    <col min="13582" max="13582" width="13.33203125" style="13" bestFit="1" customWidth="1"/>
    <col min="13583" max="13583" width="16.33203125" style="13" bestFit="1" customWidth="1"/>
    <col min="13584" max="13584" width="9.33203125" style="13" bestFit="1" customWidth="1"/>
    <col min="13585" max="13585" width="13" style="13" bestFit="1" customWidth="1"/>
    <col min="13586" max="13586" width="20.109375" style="13" bestFit="1" customWidth="1"/>
    <col min="13587" max="13587" width="50.33203125" style="13" bestFit="1" customWidth="1"/>
    <col min="13588" max="13588" width="16.109375" style="13" bestFit="1" customWidth="1"/>
    <col min="13589" max="13589" width="12.33203125" style="13" customWidth="1"/>
    <col min="13590" max="13590" width="18.88671875" style="13" bestFit="1" customWidth="1"/>
    <col min="13591" max="13591" width="16.6640625" style="13" customWidth="1"/>
    <col min="13592" max="13592" width="19" style="13" bestFit="1" customWidth="1"/>
    <col min="13593" max="13593" width="9.109375" style="13"/>
    <col min="13594" max="13594" width="18.88671875" style="13" bestFit="1" customWidth="1"/>
    <col min="13595" max="13824" width="9.109375" style="13"/>
    <col min="13825" max="13825" width="10.5546875" style="13" bestFit="1" customWidth="1"/>
    <col min="13826" max="13826" width="44.109375" style="13" customWidth="1"/>
    <col min="13827" max="13827" width="14.6640625" style="13" customWidth="1"/>
    <col min="13828" max="13828" width="23.6640625" style="13" bestFit="1" customWidth="1"/>
    <col min="13829" max="13829" width="11.88671875" style="13" customWidth="1"/>
    <col min="13830" max="13830" width="20.6640625" style="13" customWidth="1"/>
    <col min="13831" max="13831" width="15.6640625" style="13" customWidth="1"/>
    <col min="13832" max="13833" width="16.109375" style="13" bestFit="1" customWidth="1"/>
    <col min="13834" max="13834" width="13.6640625" style="13" customWidth="1"/>
    <col min="13835" max="13835" width="12.6640625" style="13" bestFit="1" customWidth="1"/>
    <col min="13836" max="13836" width="15.5546875" style="13" customWidth="1"/>
    <col min="13837" max="13837" width="16.109375" style="13" bestFit="1" customWidth="1"/>
    <col min="13838" max="13838" width="13.33203125" style="13" bestFit="1" customWidth="1"/>
    <col min="13839" max="13839" width="16.33203125" style="13" bestFit="1" customWidth="1"/>
    <col min="13840" max="13840" width="9.33203125" style="13" bestFit="1" customWidth="1"/>
    <col min="13841" max="13841" width="13" style="13" bestFit="1" customWidth="1"/>
    <col min="13842" max="13842" width="20.109375" style="13" bestFit="1" customWidth="1"/>
    <col min="13843" max="13843" width="50.33203125" style="13" bestFit="1" customWidth="1"/>
    <col min="13844" max="13844" width="16.109375" style="13" bestFit="1" customWidth="1"/>
    <col min="13845" max="13845" width="12.33203125" style="13" customWidth="1"/>
    <col min="13846" max="13846" width="18.88671875" style="13" bestFit="1" customWidth="1"/>
    <col min="13847" max="13847" width="16.6640625" style="13" customWidth="1"/>
    <col min="13848" max="13848" width="19" style="13" bestFit="1" customWidth="1"/>
    <col min="13849" max="13849" width="9.109375" style="13"/>
    <col min="13850" max="13850" width="18.88671875" style="13" bestFit="1" customWidth="1"/>
    <col min="13851" max="14080" width="9.109375" style="13"/>
    <col min="14081" max="14081" width="10.5546875" style="13" bestFit="1" customWidth="1"/>
    <col min="14082" max="14082" width="44.109375" style="13" customWidth="1"/>
    <col min="14083" max="14083" width="14.6640625" style="13" customWidth="1"/>
    <col min="14084" max="14084" width="23.6640625" style="13" bestFit="1" customWidth="1"/>
    <col min="14085" max="14085" width="11.88671875" style="13" customWidth="1"/>
    <col min="14086" max="14086" width="20.6640625" style="13" customWidth="1"/>
    <col min="14087" max="14087" width="15.6640625" style="13" customWidth="1"/>
    <col min="14088" max="14089" width="16.109375" style="13" bestFit="1" customWidth="1"/>
    <col min="14090" max="14090" width="13.6640625" style="13" customWidth="1"/>
    <col min="14091" max="14091" width="12.6640625" style="13" bestFit="1" customWidth="1"/>
    <col min="14092" max="14092" width="15.5546875" style="13" customWidth="1"/>
    <col min="14093" max="14093" width="16.109375" style="13" bestFit="1" customWidth="1"/>
    <col min="14094" max="14094" width="13.33203125" style="13" bestFit="1" customWidth="1"/>
    <col min="14095" max="14095" width="16.33203125" style="13" bestFit="1" customWidth="1"/>
    <col min="14096" max="14096" width="9.33203125" style="13" bestFit="1" customWidth="1"/>
    <col min="14097" max="14097" width="13" style="13" bestFit="1" customWidth="1"/>
    <col min="14098" max="14098" width="20.109375" style="13" bestFit="1" customWidth="1"/>
    <col min="14099" max="14099" width="50.33203125" style="13" bestFit="1" customWidth="1"/>
    <col min="14100" max="14100" width="16.109375" style="13" bestFit="1" customWidth="1"/>
    <col min="14101" max="14101" width="12.33203125" style="13" customWidth="1"/>
    <col min="14102" max="14102" width="18.88671875" style="13" bestFit="1" customWidth="1"/>
    <col min="14103" max="14103" width="16.6640625" style="13" customWidth="1"/>
    <col min="14104" max="14104" width="19" style="13" bestFit="1" customWidth="1"/>
    <col min="14105" max="14105" width="9.109375" style="13"/>
    <col min="14106" max="14106" width="18.88671875" style="13" bestFit="1" customWidth="1"/>
    <col min="14107" max="14336" width="9.109375" style="13"/>
    <col min="14337" max="14337" width="10.5546875" style="13" bestFit="1" customWidth="1"/>
    <col min="14338" max="14338" width="44.109375" style="13" customWidth="1"/>
    <col min="14339" max="14339" width="14.6640625" style="13" customWidth="1"/>
    <col min="14340" max="14340" width="23.6640625" style="13" bestFit="1" customWidth="1"/>
    <col min="14341" max="14341" width="11.88671875" style="13" customWidth="1"/>
    <col min="14342" max="14342" width="20.6640625" style="13" customWidth="1"/>
    <col min="14343" max="14343" width="15.6640625" style="13" customWidth="1"/>
    <col min="14344" max="14345" width="16.109375" style="13" bestFit="1" customWidth="1"/>
    <col min="14346" max="14346" width="13.6640625" style="13" customWidth="1"/>
    <col min="14347" max="14347" width="12.6640625" style="13" bestFit="1" customWidth="1"/>
    <col min="14348" max="14348" width="15.5546875" style="13" customWidth="1"/>
    <col min="14349" max="14349" width="16.109375" style="13" bestFit="1" customWidth="1"/>
    <col min="14350" max="14350" width="13.33203125" style="13" bestFit="1" customWidth="1"/>
    <col min="14351" max="14351" width="16.33203125" style="13" bestFit="1" customWidth="1"/>
    <col min="14352" max="14352" width="9.33203125" style="13" bestFit="1" customWidth="1"/>
    <col min="14353" max="14353" width="13" style="13" bestFit="1" customWidth="1"/>
    <col min="14354" max="14354" width="20.109375" style="13" bestFit="1" customWidth="1"/>
    <col min="14355" max="14355" width="50.33203125" style="13" bestFit="1" customWidth="1"/>
    <col min="14356" max="14356" width="16.109375" style="13" bestFit="1" customWidth="1"/>
    <col min="14357" max="14357" width="12.33203125" style="13" customWidth="1"/>
    <col min="14358" max="14358" width="18.88671875" style="13" bestFit="1" customWidth="1"/>
    <col min="14359" max="14359" width="16.6640625" style="13" customWidth="1"/>
    <col min="14360" max="14360" width="19" style="13" bestFit="1" customWidth="1"/>
    <col min="14361" max="14361" width="9.109375" style="13"/>
    <col min="14362" max="14362" width="18.88671875" style="13" bestFit="1" customWidth="1"/>
    <col min="14363" max="14592" width="9.109375" style="13"/>
    <col min="14593" max="14593" width="10.5546875" style="13" bestFit="1" customWidth="1"/>
    <col min="14594" max="14594" width="44.109375" style="13" customWidth="1"/>
    <col min="14595" max="14595" width="14.6640625" style="13" customWidth="1"/>
    <col min="14596" max="14596" width="23.6640625" style="13" bestFit="1" customWidth="1"/>
    <col min="14597" max="14597" width="11.88671875" style="13" customWidth="1"/>
    <col min="14598" max="14598" width="20.6640625" style="13" customWidth="1"/>
    <col min="14599" max="14599" width="15.6640625" style="13" customWidth="1"/>
    <col min="14600" max="14601" width="16.109375" style="13" bestFit="1" customWidth="1"/>
    <col min="14602" max="14602" width="13.6640625" style="13" customWidth="1"/>
    <col min="14603" max="14603" width="12.6640625" style="13" bestFit="1" customWidth="1"/>
    <col min="14604" max="14604" width="15.5546875" style="13" customWidth="1"/>
    <col min="14605" max="14605" width="16.109375" style="13" bestFit="1" customWidth="1"/>
    <col min="14606" max="14606" width="13.33203125" style="13" bestFit="1" customWidth="1"/>
    <col min="14607" max="14607" width="16.33203125" style="13" bestFit="1" customWidth="1"/>
    <col min="14608" max="14608" width="9.33203125" style="13" bestFit="1" customWidth="1"/>
    <col min="14609" max="14609" width="13" style="13" bestFit="1" customWidth="1"/>
    <col min="14610" max="14610" width="20.109375" style="13" bestFit="1" customWidth="1"/>
    <col min="14611" max="14611" width="50.33203125" style="13" bestFit="1" customWidth="1"/>
    <col min="14612" max="14612" width="16.109375" style="13" bestFit="1" customWidth="1"/>
    <col min="14613" max="14613" width="12.33203125" style="13" customWidth="1"/>
    <col min="14614" max="14614" width="18.88671875" style="13" bestFit="1" customWidth="1"/>
    <col min="14615" max="14615" width="16.6640625" style="13" customWidth="1"/>
    <col min="14616" max="14616" width="19" style="13" bestFit="1" customWidth="1"/>
    <col min="14617" max="14617" width="9.109375" style="13"/>
    <col min="14618" max="14618" width="18.88671875" style="13" bestFit="1" customWidth="1"/>
    <col min="14619" max="14848" width="9.109375" style="13"/>
    <col min="14849" max="14849" width="10.5546875" style="13" bestFit="1" customWidth="1"/>
    <col min="14850" max="14850" width="44.109375" style="13" customWidth="1"/>
    <col min="14851" max="14851" width="14.6640625" style="13" customWidth="1"/>
    <col min="14852" max="14852" width="23.6640625" style="13" bestFit="1" customWidth="1"/>
    <col min="14853" max="14853" width="11.88671875" style="13" customWidth="1"/>
    <col min="14854" max="14854" width="20.6640625" style="13" customWidth="1"/>
    <col min="14855" max="14855" width="15.6640625" style="13" customWidth="1"/>
    <col min="14856" max="14857" width="16.109375" style="13" bestFit="1" customWidth="1"/>
    <col min="14858" max="14858" width="13.6640625" style="13" customWidth="1"/>
    <col min="14859" max="14859" width="12.6640625" style="13" bestFit="1" customWidth="1"/>
    <col min="14860" max="14860" width="15.5546875" style="13" customWidth="1"/>
    <col min="14861" max="14861" width="16.109375" style="13" bestFit="1" customWidth="1"/>
    <col min="14862" max="14862" width="13.33203125" style="13" bestFit="1" customWidth="1"/>
    <col min="14863" max="14863" width="16.33203125" style="13" bestFit="1" customWidth="1"/>
    <col min="14864" max="14864" width="9.33203125" style="13" bestFit="1" customWidth="1"/>
    <col min="14865" max="14865" width="13" style="13" bestFit="1" customWidth="1"/>
    <col min="14866" max="14866" width="20.109375" style="13" bestFit="1" customWidth="1"/>
    <col min="14867" max="14867" width="50.33203125" style="13" bestFit="1" customWidth="1"/>
    <col min="14868" max="14868" width="16.109375" style="13" bestFit="1" customWidth="1"/>
    <col min="14869" max="14869" width="12.33203125" style="13" customWidth="1"/>
    <col min="14870" max="14870" width="18.88671875" style="13" bestFit="1" customWidth="1"/>
    <col min="14871" max="14871" width="16.6640625" style="13" customWidth="1"/>
    <col min="14872" max="14872" width="19" style="13" bestFit="1" customWidth="1"/>
    <col min="14873" max="14873" width="9.109375" style="13"/>
    <col min="14874" max="14874" width="18.88671875" style="13" bestFit="1" customWidth="1"/>
    <col min="14875" max="15104" width="9.109375" style="13"/>
    <col min="15105" max="15105" width="10.5546875" style="13" bestFit="1" customWidth="1"/>
    <col min="15106" max="15106" width="44.109375" style="13" customWidth="1"/>
    <col min="15107" max="15107" width="14.6640625" style="13" customWidth="1"/>
    <col min="15108" max="15108" width="23.6640625" style="13" bestFit="1" customWidth="1"/>
    <col min="15109" max="15109" width="11.88671875" style="13" customWidth="1"/>
    <col min="15110" max="15110" width="20.6640625" style="13" customWidth="1"/>
    <col min="15111" max="15111" width="15.6640625" style="13" customWidth="1"/>
    <col min="15112" max="15113" width="16.109375" style="13" bestFit="1" customWidth="1"/>
    <col min="15114" max="15114" width="13.6640625" style="13" customWidth="1"/>
    <col min="15115" max="15115" width="12.6640625" style="13" bestFit="1" customWidth="1"/>
    <col min="15116" max="15116" width="15.5546875" style="13" customWidth="1"/>
    <col min="15117" max="15117" width="16.109375" style="13" bestFit="1" customWidth="1"/>
    <col min="15118" max="15118" width="13.33203125" style="13" bestFit="1" customWidth="1"/>
    <col min="15119" max="15119" width="16.33203125" style="13" bestFit="1" customWidth="1"/>
    <col min="15120" max="15120" width="9.33203125" style="13" bestFit="1" customWidth="1"/>
    <col min="15121" max="15121" width="13" style="13" bestFit="1" customWidth="1"/>
    <col min="15122" max="15122" width="20.109375" style="13" bestFit="1" customWidth="1"/>
    <col min="15123" max="15123" width="50.33203125" style="13" bestFit="1" customWidth="1"/>
    <col min="15124" max="15124" width="16.109375" style="13" bestFit="1" customWidth="1"/>
    <col min="15125" max="15125" width="12.33203125" style="13" customWidth="1"/>
    <col min="15126" max="15126" width="18.88671875" style="13" bestFit="1" customWidth="1"/>
    <col min="15127" max="15127" width="16.6640625" style="13" customWidth="1"/>
    <col min="15128" max="15128" width="19" style="13" bestFit="1" customWidth="1"/>
    <col min="15129" max="15129" width="9.109375" style="13"/>
    <col min="15130" max="15130" width="18.88671875" style="13" bestFit="1" customWidth="1"/>
    <col min="15131" max="15360" width="9.109375" style="13"/>
    <col min="15361" max="15361" width="10.5546875" style="13" bestFit="1" customWidth="1"/>
    <col min="15362" max="15362" width="44.109375" style="13" customWidth="1"/>
    <col min="15363" max="15363" width="14.6640625" style="13" customWidth="1"/>
    <col min="15364" max="15364" width="23.6640625" style="13" bestFit="1" customWidth="1"/>
    <col min="15365" max="15365" width="11.88671875" style="13" customWidth="1"/>
    <col min="15366" max="15366" width="20.6640625" style="13" customWidth="1"/>
    <col min="15367" max="15367" width="15.6640625" style="13" customWidth="1"/>
    <col min="15368" max="15369" width="16.109375" style="13" bestFit="1" customWidth="1"/>
    <col min="15370" max="15370" width="13.6640625" style="13" customWidth="1"/>
    <col min="15371" max="15371" width="12.6640625" style="13" bestFit="1" customWidth="1"/>
    <col min="15372" max="15372" width="15.5546875" style="13" customWidth="1"/>
    <col min="15373" max="15373" width="16.109375" style="13" bestFit="1" customWidth="1"/>
    <col min="15374" max="15374" width="13.33203125" style="13" bestFit="1" customWidth="1"/>
    <col min="15375" max="15375" width="16.33203125" style="13" bestFit="1" customWidth="1"/>
    <col min="15376" max="15376" width="9.33203125" style="13" bestFit="1" customWidth="1"/>
    <col min="15377" max="15377" width="13" style="13" bestFit="1" customWidth="1"/>
    <col min="15378" max="15378" width="20.109375" style="13" bestFit="1" customWidth="1"/>
    <col min="15379" max="15379" width="50.33203125" style="13" bestFit="1" customWidth="1"/>
    <col min="15380" max="15380" width="16.109375" style="13" bestFit="1" customWidth="1"/>
    <col min="15381" max="15381" width="12.33203125" style="13" customWidth="1"/>
    <col min="15382" max="15382" width="18.88671875" style="13" bestFit="1" customWidth="1"/>
    <col min="15383" max="15383" width="16.6640625" style="13" customWidth="1"/>
    <col min="15384" max="15384" width="19" style="13" bestFit="1" customWidth="1"/>
    <col min="15385" max="15385" width="9.109375" style="13"/>
    <col min="15386" max="15386" width="18.88671875" style="13" bestFit="1" customWidth="1"/>
    <col min="15387" max="15616" width="9.109375" style="13"/>
    <col min="15617" max="15617" width="10.5546875" style="13" bestFit="1" customWidth="1"/>
    <col min="15618" max="15618" width="44.109375" style="13" customWidth="1"/>
    <col min="15619" max="15619" width="14.6640625" style="13" customWidth="1"/>
    <col min="15620" max="15620" width="23.6640625" style="13" bestFit="1" customWidth="1"/>
    <col min="15621" max="15621" width="11.88671875" style="13" customWidth="1"/>
    <col min="15622" max="15622" width="20.6640625" style="13" customWidth="1"/>
    <col min="15623" max="15623" width="15.6640625" style="13" customWidth="1"/>
    <col min="15624" max="15625" width="16.109375" style="13" bestFit="1" customWidth="1"/>
    <col min="15626" max="15626" width="13.6640625" style="13" customWidth="1"/>
    <col min="15627" max="15627" width="12.6640625" style="13" bestFit="1" customWidth="1"/>
    <col min="15628" max="15628" width="15.5546875" style="13" customWidth="1"/>
    <col min="15629" max="15629" width="16.109375" style="13" bestFit="1" customWidth="1"/>
    <col min="15630" max="15630" width="13.33203125" style="13" bestFit="1" customWidth="1"/>
    <col min="15631" max="15631" width="16.33203125" style="13" bestFit="1" customWidth="1"/>
    <col min="15632" max="15632" width="9.33203125" style="13" bestFit="1" customWidth="1"/>
    <col min="15633" max="15633" width="13" style="13" bestFit="1" customWidth="1"/>
    <col min="15634" max="15634" width="20.109375" style="13" bestFit="1" customWidth="1"/>
    <col min="15635" max="15635" width="50.33203125" style="13" bestFit="1" customWidth="1"/>
    <col min="15636" max="15636" width="16.109375" style="13" bestFit="1" customWidth="1"/>
    <col min="15637" max="15637" width="12.33203125" style="13" customWidth="1"/>
    <col min="15638" max="15638" width="18.88671875" style="13" bestFit="1" customWidth="1"/>
    <col min="15639" max="15639" width="16.6640625" style="13" customWidth="1"/>
    <col min="15640" max="15640" width="19" style="13" bestFit="1" customWidth="1"/>
    <col min="15641" max="15641" width="9.109375" style="13"/>
    <col min="15642" max="15642" width="18.88671875" style="13" bestFit="1" customWidth="1"/>
    <col min="15643" max="15872" width="9.109375" style="13"/>
    <col min="15873" max="15873" width="10.5546875" style="13" bestFit="1" customWidth="1"/>
    <col min="15874" max="15874" width="44.109375" style="13" customWidth="1"/>
    <col min="15875" max="15875" width="14.6640625" style="13" customWidth="1"/>
    <col min="15876" max="15876" width="23.6640625" style="13" bestFit="1" customWidth="1"/>
    <col min="15877" max="15877" width="11.88671875" style="13" customWidth="1"/>
    <col min="15878" max="15878" width="20.6640625" style="13" customWidth="1"/>
    <col min="15879" max="15879" width="15.6640625" style="13" customWidth="1"/>
    <col min="15880" max="15881" width="16.109375" style="13" bestFit="1" customWidth="1"/>
    <col min="15882" max="15882" width="13.6640625" style="13" customWidth="1"/>
    <col min="15883" max="15883" width="12.6640625" style="13" bestFit="1" customWidth="1"/>
    <col min="15884" max="15884" width="15.5546875" style="13" customWidth="1"/>
    <col min="15885" max="15885" width="16.109375" style="13" bestFit="1" customWidth="1"/>
    <col min="15886" max="15886" width="13.33203125" style="13" bestFit="1" customWidth="1"/>
    <col min="15887" max="15887" width="16.33203125" style="13" bestFit="1" customWidth="1"/>
    <col min="15888" max="15888" width="9.33203125" style="13" bestFit="1" customWidth="1"/>
    <col min="15889" max="15889" width="13" style="13" bestFit="1" customWidth="1"/>
    <col min="15890" max="15890" width="20.109375" style="13" bestFit="1" customWidth="1"/>
    <col min="15891" max="15891" width="50.33203125" style="13" bestFit="1" customWidth="1"/>
    <col min="15892" max="15892" width="16.109375" style="13" bestFit="1" customWidth="1"/>
    <col min="15893" max="15893" width="12.33203125" style="13" customWidth="1"/>
    <col min="15894" max="15894" width="18.88671875" style="13" bestFit="1" customWidth="1"/>
    <col min="15895" max="15895" width="16.6640625" style="13" customWidth="1"/>
    <col min="15896" max="15896" width="19" style="13" bestFit="1" customWidth="1"/>
    <col min="15897" max="15897" width="9.109375" style="13"/>
    <col min="15898" max="15898" width="18.88671875" style="13" bestFit="1" customWidth="1"/>
    <col min="15899" max="16128" width="9.109375" style="13"/>
    <col min="16129" max="16129" width="10.5546875" style="13" bestFit="1" customWidth="1"/>
    <col min="16130" max="16130" width="44.109375" style="13" customWidth="1"/>
    <col min="16131" max="16131" width="14.6640625" style="13" customWidth="1"/>
    <col min="16132" max="16132" width="23.6640625" style="13" bestFit="1" customWidth="1"/>
    <col min="16133" max="16133" width="11.88671875" style="13" customWidth="1"/>
    <col min="16134" max="16134" width="20.6640625" style="13" customWidth="1"/>
    <col min="16135" max="16135" width="15.6640625" style="13" customWidth="1"/>
    <col min="16136" max="16137" width="16.109375" style="13" bestFit="1" customWidth="1"/>
    <col min="16138" max="16138" width="13.6640625" style="13" customWidth="1"/>
    <col min="16139" max="16139" width="12.6640625" style="13" bestFit="1" customWidth="1"/>
    <col min="16140" max="16140" width="15.5546875" style="13" customWidth="1"/>
    <col min="16141" max="16141" width="16.109375" style="13" bestFit="1" customWidth="1"/>
    <col min="16142" max="16142" width="13.33203125" style="13" bestFit="1" customWidth="1"/>
    <col min="16143" max="16143" width="16.33203125" style="13" bestFit="1" customWidth="1"/>
    <col min="16144" max="16144" width="9.33203125" style="13" bestFit="1" customWidth="1"/>
    <col min="16145" max="16145" width="13" style="13" bestFit="1" customWidth="1"/>
    <col min="16146" max="16146" width="20.109375" style="13" bestFit="1" customWidth="1"/>
    <col min="16147" max="16147" width="50.33203125" style="13" bestFit="1" customWidth="1"/>
    <col min="16148" max="16148" width="16.109375" style="13" bestFit="1" customWidth="1"/>
    <col min="16149" max="16149" width="12.33203125" style="13" customWidth="1"/>
    <col min="16150" max="16150" width="18.88671875" style="13" bestFit="1" customWidth="1"/>
    <col min="16151" max="16151" width="16.6640625" style="13" customWidth="1"/>
    <col min="16152" max="16152" width="19" style="13" bestFit="1" customWidth="1"/>
    <col min="16153" max="16153" width="9.109375" style="13"/>
    <col min="16154" max="16154" width="18.88671875" style="13" bestFit="1" customWidth="1"/>
    <col min="16155" max="16384" width="9.109375" style="13"/>
  </cols>
  <sheetData>
    <row r="1" spans="1:26">
      <c r="J1" s="16"/>
      <c r="K1" s="16"/>
      <c r="L1" s="16"/>
    </row>
    <row r="2" spans="1:26" ht="17.399999999999999">
      <c r="A2" s="208" t="s">
        <v>226</v>
      </c>
      <c r="J2" s="207"/>
      <c r="K2" s="16"/>
      <c r="L2" s="16"/>
    </row>
    <row r="3" spans="1:26" ht="14.4" thickBot="1">
      <c r="A3" s="9" t="s">
        <v>132</v>
      </c>
      <c r="H3" s="49"/>
      <c r="J3" s="206"/>
      <c r="K3" s="16"/>
      <c r="L3" s="16"/>
    </row>
    <row r="4" spans="1:26" ht="16.2" thickBot="1">
      <c r="A4" s="92"/>
      <c r="B4" s="90"/>
      <c r="C4" s="90" t="s">
        <v>225</v>
      </c>
      <c r="D4" s="205">
        <f>L218</f>
        <v>2.5087700000000002</v>
      </c>
      <c r="H4" s="49"/>
      <c r="J4" s="194"/>
      <c r="K4" s="204"/>
      <c r="L4" s="16"/>
    </row>
    <row r="5" spans="1:26">
      <c r="A5" s="94"/>
      <c r="B5" s="94"/>
      <c r="C5" s="94"/>
      <c r="D5" s="94"/>
      <c r="E5" s="94"/>
      <c r="F5" s="94"/>
      <c r="H5" s="49"/>
      <c r="J5" s="16"/>
      <c r="K5" s="193"/>
      <c r="L5" s="48"/>
      <c r="M5" s="49"/>
      <c r="N5" s="49"/>
      <c r="O5" s="49"/>
      <c r="P5" s="49"/>
      <c r="Q5" s="49"/>
      <c r="R5" s="49"/>
      <c r="S5" s="49"/>
      <c r="T5" s="203"/>
      <c r="U5" s="203"/>
      <c r="V5" s="203"/>
      <c r="W5" s="203"/>
      <c r="X5" s="203"/>
    </row>
    <row r="6" spans="1:26" ht="14.4">
      <c r="A6" s="94"/>
      <c r="B6" s="202"/>
      <c r="C6" s="201"/>
      <c r="D6" s="200"/>
      <c r="E6" s="201"/>
      <c r="F6" s="200" t="s">
        <v>99</v>
      </c>
      <c r="H6" s="49"/>
      <c r="J6" s="16"/>
      <c r="K6" s="193"/>
      <c r="L6" s="48"/>
      <c r="M6" s="49"/>
      <c r="N6" s="49"/>
      <c r="O6" s="49"/>
      <c r="P6" s="49"/>
      <c r="Q6" s="49"/>
      <c r="R6" s="49"/>
      <c r="S6" s="49"/>
      <c r="T6" s="199"/>
      <c r="X6" s="198"/>
      <c r="Z6" s="192"/>
    </row>
    <row r="7" spans="1:26" ht="15.6">
      <c r="A7" s="100"/>
      <c r="B7" s="197"/>
      <c r="C7" s="197"/>
      <c r="D7" s="9"/>
      <c r="E7" s="196" t="s">
        <v>224</v>
      </c>
      <c r="F7" s="195">
        <f>L214</f>
        <v>8.2479999999999998E-2</v>
      </c>
      <c r="H7" s="49"/>
      <c r="J7" s="194"/>
      <c r="K7" s="193"/>
      <c r="L7" s="48"/>
      <c r="M7" s="49"/>
      <c r="N7" s="49"/>
      <c r="O7" s="49"/>
      <c r="P7" s="49"/>
      <c r="Q7" s="49"/>
      <c r="R7" s="49"/>
      <c r="S7" s="49"/>
      <c r="T7" s="86"/>
      <c r="Z7" s="192"/>
    </row>
    <row r="8" spans="1:26" ht="14.4">
      <c r="A8" s="93"/>
      <c r="B8" s="93"/>
      <c r="H8" s="49"/>
      <c r="J8" s="16"/>
      <c r="K8" s="48"/>
      <c r="L8" s="48"/>
      <c r="M8" s="49"/>
      <c r="N8" s="49"/>
      <c r="O8" s="49"/>
      <c r="P8" s="49"/>
      <c r="Q8" s="49"/>
      <c r="R8" s="49"/>
      <c r="S8" s="49"/>
      <c r="Z8" s="192"/>
    </row>
    <row r="9" spans="1:26" ht="14.4">
      <c r="H9" s="49"/>
      <c r="J9" s="16"/>
      <c r="K9" s="48"/>
      <c r="L9" s="48"/>
      <c r="M9" s="49"/>
      <c r="N9" s="49"/>
      <c r="O9" s="49"/>
      <c r="P9" s="49"/>
      <c r="Q9" s="49"/>
      <c r="R9" s="49"/>
      <c r="S9" s="49"/>
      <c r="Z9" s="192"/>
    </row>
    <row r="10" spans="1:26" ht="14.4">
      <c r="H10" s="49"/>
      <c r="J10" s="16"/>
      <c r="K10" s="48"/>
      <c r="L10" s="48"/>
      <c r="M10" s="49"/>
      <c r="N10" s="49"/>
      <c r="O10" s="49"/>
      <c r="P10" s="49"/>
      <c r="Q10" s="49"/>
      <c r="R10" s="49"/>
      <c r="S10" s="49"/>
      <c r="T10" s="190"/>
      <c r="X10" s="190"/>
      <c r="Z10" s="192"/>
    </row>
    <row r="11" spans="1:26">
      <c r="H11" s="49"/>
      <c r="J11" s="16"/>
      <c r="K11" s="48"/>
      <c r="L11" s="48"/>
      <c r="M11" s="49"/>
      <c r="N11" s="49"/>
      <c r="O11" s="49"/>
      <c r="P11" s="49"/>
      <c r="Q11" s="49"/>
      <c r="R11" s="49"/>
      <c r="S11" s="49"/>
      <c r="Z11" s="49"/>
    </row>
    <row r="12" spans="1:26">
      <c r="B12" s="150" t="s">
        <v>223</v>
      </c>
      <c r="H12" s="49"/>
      <c r="K12" s="49"/>
      <c r="L12" s="49"/>
      <c r="M12" s="49"/>
      <c r="N12" s="49"/>
      <c r="O12" s="49"/>
      <c r="P12" s="49"/>
      <c r="Q12" s="49"/>
      <c r="R12" s="49"/>
      <c r="S12" s="49"/>
      <c r="Z12" s="49"/>
    </row>
    <row r="13" spans="1:26">
      <c r="B13" s="124"/>
      <c r="H13" s="49"/>
      <c r="K13" s="49"/>
      <c r="L13" s="49"/>
      <c r="M13" s="49"/>
      <c r="N13" s="49"/>
      <c r="O13" s="49"/>
      <c r="P13" s="49"/>
      <c r="Q13" s="49"/>
      <c r="R13" s="49"/>
      <c r="S13" s="49"/>
      <c r="Z13" s="49"/>
    </row>
    <row r="14" spans="1:26">
      <c r="B14" s="129" t="s">
        <v>222</v>
      </c>
      <c r="C14" s="94"/>
      <c r="D14" s="94"/>
      <c r="E14" s="94"/>
      <c r="H14" s="49"/>
      <c r="K14" s="49"/>
      <c r="L14" s="49"/>
      <c r="M14" s="49"/>
      <c r="N14" s="49"/>
      <c r="O14" s="49"/>
      <c r="P14" s="49"/>
      <c r="Q14" s="49"/>
      <c r="R14" s="49"/>
      <c r="S14" s="49"/>
      <c r="Z14" s="49"/>
    </row>
    <row r="15" spans="1:26" ht="14.4">
      <c r="B15" s="139" t="s">
        <v>172</v>
      </c>
      <c r="C15" s="139"/>
      <c r="D15" s="237">
        <v>14101.476000000001</v>
      </c>
      <c r="E15" s="141" t="s">
        <v>171</v>
      </c>
      <c r="F15" s="49"/>
      <c r="H15" s="49"/>
      <c r="K15" s="49"/>
      <c r="L15" s="49"/>
      <c r="M15" s="49"/>
      <c r="N15" s="49"/>
      <c r="O15" s="49"/>
      <c r="P15" s="49"/>
      <c r="Q15" s="49"/>
      <c r="R15" s="49"/>
      <c r="S15" s="49"/>
      <c r="T15" s="190"/>
      <c r="V15" s="190"/>
      <c r="X15" s="190"/>
      <c r="Z15" s="190"/>
    </row>
    <row r="16" spans="1:26" ht="14.4">
      <c r="B16" s="139" t="s">
        <v>170</v>
      </c>
      <c r="C16" s="139"/>
      <c r="D16" s="237">
        <v>146</v>
      </c>
      <c r="E16" s="141" t="s">
        <v>169</v>
      </c>
      <c r="F16" s="49"/>
      <c r="K16" s="49"/>
      <c r="L16" s="49"/>
      <c r="N16" s="49"/>
      <c r="O16" s="49"/>
      <c r="P16" s="49"/>
      <c r="Q16" s="49"/>
      <c r="R16" s="49"/>
      <c r="S16" s="49"/>
      <c r="T16" s="190"/>
      <c r="V16" s="190"/>
      <c r="X16" s="190"/>
      <c r="Z16" s="190"/>
    </row>
    <row r="17" spans="1:26" ht="14.4">
      <c r="B17" s="139" t="s">
        <v>168</v>
      </c>
      <c r="C17" s="139"/>
      <c r="D17" s="237">
        <v>2337</v>
      </c>
      <c r="E17" s="141" t="s">
        <v>103</v>
      </c>
      <c r="F17" s="49"/>
      <c r="K17" s="49"/>
      <c r="L17" s="49"/>
      <c r="N17" s="49"/>
      <c r="O17" s="49"/>
      <c r="P17" s="49"/>
      <c r="Q17" s="49"/>
      <c r="R17" s="49"/>
      <c r="S17" s="49"/>
      <c r="T17" s="190"/>
      <c r="V17" s="190"/>
      <c r="X17" s="190"/>
      <c r="Z17" s="190"/>
    </row>
    <row r="18" spans="1:26" ht="14.4">
      <c r="B18" s="139" t="s">
        <v>167</v>
      </c>
      <c r="C18" s="139"/>
      <c r="D18" s="237">
        <v>27095983</v>
      </c>
      <c r="E18" s="141" t="s">
        <v>166</v>
      </c>
      <c r="F18" s="49"/>
      <c r="K18" s="49"/>
      <c r="L18" s="49"/>
      <c r="N18" s="49"/>
      <c r="O18" s="49"/>
      <c r="P18" s="49"/>
      <c r="Q18" s="49"/>
      <c r="R18" s="49"/>
      <c r="S18" s="49"/>
      <c r="T18" s="190"/>
      <c r="V18" s="190"/>
      <c r="X18" s="190"/>
      <c r="Z18" s="190"/>
    </row>
    <row r="19" spans="1:26">
      <c r="B19" s="94"/>
      <c r="C19" s="94"/>
      <c r="D19" s="107"/>
      <c r="E19" s="141"/>
      <c r="F19" s="49"/>
      <c r="H19" s="49"/>
      <c r="K19" s="49"/>
      <c r="L19" s="49"/>
      <c r="M19" s="49"/>
      <c r="N19" s="49"/>
      <c r="O19" s="49"/>
      <c r="P19" s="188"/>
      <c r="Q19" s="49"/>
      <c r="R19" s="49"/>
      <c r="S19" s="49"/>
      <c r="Z19" s="49"/>
    </row>
    <row r="20" spans="1:26" ht="14.4">
      <c r="B20" s="94"/>
      <c r="C20" s="94"/>
      <c r="D20" s="107"/>
      <c r="E20" s="141"/>
      <c r="H20" s="49"/>
      <c r="K20" s="49"/>
      <c r="L20" s="49"/>
      <c r="M20" s="49"/>
      <c r="N20" s="49"/>
      <c r="O20" s="189"/>
      <c r="P20" s="188"/>
      <c r="Q20" s="49"/>
      <c r="R20" s="49"/>
      <c r="S20" s="49"/>
      <c r="Z20" s="49"/>
    </row>
    <row r="21" spans="1:26" ht="14.4">
      <c r="H21" s="49"/>
      <c r="K21" s="49"/>
      <c r="L21" s="49"/>
      <c r="M21" s="48"/>
      <c r="N21" s="48"/>
      <c r="O21" s="174"/>
      <c r="P21" s="48"/>
      <c r="Q21" s="48"/>
      <c r="R21" s="48"/>
      <c r="S21" s="48"/>
      <c r="Z21" s="49"/>
    </row>
    <row r="22" spans="1:26" s="87" customFormat="1" ht="14.4">
      <c r="M22" s="186"/>
      <c r="N22" s="186"/>
      <c r="O22" s="187"/>
      <c r="P22" s="186"/>
      <c r="Q22" s="186"/>
      <c r="R22" s="186"/>
      <c r="S22" s="186"/>
    </row>
    <row r="23" spans="1:26" ht="14.4">
      <c r="G23" s="49"/>
      <c r="H23" s="49"/>
      <c r="I23" s="49"/>
      <c r="J23" s="49"/>
      <c r="K23" s="185"/>
      <c r="L23" s="49"/>
      <c r="M23" s="48"/>
      <c r="N23" s="48"/>
      <c r="O23" s="174"/>
      <c r="P23" s="48"/>
      <c r="Q23" s="48"/>
      <c r="R23" s="48"/>
      <c r="S23" s="48"/>
      <c r="T23" s="49"/>
      <c r="U23" s="49"/>
      <c r="V23" s="49"/>
      <c r="W23" s="49"/>
      <c r="X23" s="49"/>
      <c r="Y23" s="49"/>
      <c r="Z23" s="49"/>
    </row>
    <row r="24" spans="1:26">
      <c r="B24" s="94" t="s">
        <v>221</v>
      </c>
      <c r="G24" s="49"/>
      <c r="H24" s="49"/>
      <c r="I24" s="49"/>
      <c r="J24" s="49"/>
      <c r="L24" s="49"/>
      <c r="M24" s="48"/>
      <c r="N24" s="48"/>
      <c r="O24" s="48"/>
      <c r="P24" s="48"/>
      <c r="Q24" s="48"/>
      <c r="R24" s="48"/>
      <c r="S24" s="48"/>
      <c r="T24" s="49"/>
      <c r="U24" s="49"/>
      <c r="V24" s="49"/>
      <c r="W24" s="49"/>
      <c r="X24" s="49"/>
      <c r="Y24" s="49"/>
      <c r="Z24" s="49"/>
    </row>
    <row r="25" spans="1:26">
      <c r="D25" s="104"/>
      <c r="G25" s="49"/>
      <c r="H25" s="49"/>
      <c r="I25" s="49"/>
      <c r="J25" s="49"/>
      <c r="L25" s="49"/>
      <c r="M25" s="48"/>
      <c r="N25" s="48"/>
      <c r="O25" s="48"/>
      <c r="P25" s="48"/>
      <c r="Q25" s="48"/>
      <c r="R25" s="48"/>
      <c r="S25" s="48"/>
      <c r="T25" s="49"/>
      <c r="U25" s="49"/>
      <c r="V25" s="49"/>
      <c r="W25" s="49"/>
      <c r="X25" s="49"/>
      <c r="Y25" s="49"/>
      <c r="Z25" s="49"/>
    </row>
    <row r="26" spans="1:26">
      <c r="A26" s="184" t="s">
        <v>0</v>
      </c>
      <c r="B26" s="183"/>
      <c r="C26" s="182"/>
      <c r="D26" s="176" t="s">
        <v>218</v>
      </c>
      <c r="E26" s="181" t="s">
        <v>220</v>
      </c>
      <c r="F26" s="181"/>
      <c r="L26" s="49"/>
      <c r="M26" s="48"/>
      <c r="N26" s="48"/>
      <c r="O26" s="48"/>
      <c r="P26" s="48"/>
      <c r="Q26" s="48"/>
      <c r="R26" s="48"/>
      <c r="S26" s="48"/>
      <c r="T26" s="49"/>
      <c r="U26" s="49"/>
      <c r="V26" s="49"/>
      <c r="W26" s="49"/>
      <c r="X26" s="49"/>
      <c r="Y26" s="49"/>
      <c r="Z26" s="49"/>
    </row>
    <row r="27" spans="1:26">
      <c r="A27" s="180" t="s">
        <v>2</v>
      </c>
      <c r="B27" s="180"/>
      <c r="C27" s="179" t="s">
        <v>219</v>
      </c>
      <c r="D27" s="178" t="s">
        <v>81</v>
      </c>
      <c r="E27" s="178" t="s">
        <v>218</v>
      </c>
      <c r="F27" s="175"/>
      <c r="K27" s="49"/>
      <c r="M27" s="48"/>
      <c r="N27" s="48"/>
      <c r="O27" s="48"/>
      <c r="P27" s="48"/>
      <c r="Q27" s="48"/>
      <c r="R27" s="48"/>
      <c r="S27" s="48"/>
      <c r="T27" s="49"/>
      <c r="U27" s="49"/>
      <c r="V27" s="49"/>
      <c r="W27" s="49"/>
      <c r="X27" s="49"/>
      <c r="Y27" s="49"/>
      <c r="Z27" s="49"/>
    </row>
    <row r="28" spans="1:26">
      <c r="A28" s="177"/>
      <c r="B28" s="177" t="s">
        <v>4</v>
      </c>
      <c r="C28" s="177" t="s">
        <v>5</v>
      </c>
      <c r="D28" s="176" t="s">
        <v>6</v>
      </c>
      <c r="E28" s="176" t="s">
        <v>7</v>
      </c>
      <c r="F28" s="175"/>
      <c r="K28" s="49"/>
      <c r="M28" s="48"/>
      <c r="N28" s="48"/>
      <c r="O28" s="48"/>
      <c r="P28" s="48"/>
      <c r="Q28" s="48"/>
      <c r="R28" s="48"/>
      <c r="S28" s="48"/>
      <c r="T28" s="49"/>
      <c r="U28" s="49"/>
      <c r="V28" s="49"/>
      <c r="W28" s="49"/>
      <c r="X28" s="49"/>
      <c r="Y28" s="49"/>
      <c r="Z28" s="49"/>
    </row>
    <row r="29" spans="1:26" ht="14.4">
      <c r="A29" s="167">
        <v>1</v>
      </c>
      <c r="B29" s="169" t="s">
        <v>217</v>
      </c>
      <c r="C29" s="232">
        <f>SUM(D29:E29)</f>
        <v>173788</v>
      </c>
      <c r="D29" s="235">
        <v>86894</v>
      </c>
      <c r="E29" s="235">
        <v>86894</v>
      </c>
      <c r="F29" s="163"/>
      <c r="K29" s="49"/>
      <c r="M29" s="48"/>
      <c r="N29" s="48"/>
      <c r="O29" s="48"/>
      <c r="P29" s="48"/>
      <c r="Q29" s="48"/>
      <c r="R29" s="48"/>
      <c r="S29" s="48"/>
      <c r="T29" s="49"/>
      <c r="U29" s="49"/>
      <c r="V29" s="49"/>
      <c r="W29" s="49"/>
      <c r="X29" s="49"/>
      <c r="Y29" s="49"/>
      <c r="Z29" s="49"/>
    </row>
    <row r="30" spans="1:26" ht="14.4">
      <c r="A30" s="167">
        <v>2</v>
      </c>
      <c r="B30" s="174" t="s">
        <v>240</v>
      </c>
      <c r="C30" s="232">
        <f>SUM(D30:E30)</f>
        <v>8652</v>
      </c>
      <c r="D30" s="235">
        <v>4326</v>
      </c>
      <c r="E30" s="235">
        <f>D30</f>
        <v>4326</v>
      </c>
      <c r="F30" s="163"/>
      <c r="G30" s="173"/>
      <c r="K30" s="49"/>
      <c r="R30" s="49"/>
      <c r="S30" s="49"/>
      <c r="T30" s="49"/>
      <c r="U30" s="49"/>
      <c r="V30" s="49"/>
      <c r="W30" s="49"/>
      <c r="X30" s="49"/>
      <c r="Y30" s="49"/>
      <c r="Z30" s="49"/>
    </row>
    <row r="31" spans="1:26" ht="14.4">
      <c r="A31" s="167"/>
      <c r="B31" s="174" t="s">
        <v>239</v>
      </c>
      <c r="C31" s="232">
        <f>SUM(D31:E31)</f>
        <v>460</v>
      </c>
      <c r="D31" s="235">
        <v>230</v>
      </c>
      <c r="E31" s="235">
        <v>230</v>
      </c>
      <c r="F31" s="163"/>
      <c r="G31" s="173"/>
      <c r="K31" s="49"/>
      <c r="R31" s="49"/>
      <c r="S31" s="49"/>
      <c r="T31" s="49"/>
      <c r="U31" s="49"/>
      <c r="V31" s="49"/>
      <c r="W31" s="49"/>
      <c r="X31" s="49"/>
      <c r="Y31" s="49"/>
      <c r="Z31" s="49"/>
    </row>
    <row r="32" spans="1:26" ht="14.4">
      <c r="A32" s="167">
        <v>3</v>
      </c>
      <c r="B32" s="169" t="s">
        <v>215</v>
      </c>
      <c r="C32" s="236">
        <v>1551550</v>
      </c>
      <c r="D32" s="236">
        <v>249795.4</v>
      </c>
      <c r="E32" s="236">
        <v>1301754.3999999999</v>
      </c>
      <c r="F32" s="163"/>
      <c r="G32" s="173"/>
      <c r="I32" s="220" t="s">
        <v>238</v>
      </c>
      <c r="K32" s="49"/>
      <c r="R32" s="49"/>
      <c r="S32" s="49"/>
      <c r="T32" s="49"/>
      <c r="U32" s="49"/>
      <c r="V32" s="49"/>
      <c r="W32" s="49"/>
      <c r="X32" s="49"/>
      <c r="Y32" s="49"/>
      <c r="Z32" s="49"/>
    </row>
    <row r="33" spans="1:26">
      <c r="B33" s="166"/>
      <c r="C33" s="172">
        <v>15155</v>
      </c>
      <c r="D33" s="171"/>
      <c r="E33" s="171"/>
      <c r="F33" s="16"/>
      <c r="I33" s="49" t="s">
        <v>237</v>
      </c>
      <c r="K33" s="49"/>
      <c r="R33" s="49"/>
      <c r="S33" s="49"/>
      <c r="T33" s="49"/>
      <c r="U33" s="49"/>
      <c r="V33" s="49"/>
      <c r="W33" s="49"/>
      <c r="X33" s="49"/>
      <c r="Y33" s="49"/>
      <c r="Z33" s="49"/>
    </row>
    <row r="34" spans="1:26">
      <c r="A34" s="167"/>
      <c r="B34" s="170"/>
      <c r="C34" s="169"/>
      <c r="D34" s="169"/>
      <c r="E34" s="169"/>
      <c r="F34" s="163"/>
      <c r="I34" s="49" t="s">
        <v>236</v>
      </c>
      <c r="K34" s="49"/>
      <c r="R34" s="49"/>
      <c r="S34" s="49"/>
      <c r="T34" s="49"/>
      <c r="U34" s="49"/>
      <c r="V34" s="49"/>
      <c r="W34" s="49"/>
      <c r="X34" s="49"/>
      <c r="Y34" s="49"/>
      <c r="Z34" s="49"/>
    </row>
    <row r="35" spans="1:26" ht="14.4">
      <c r="A35" s="167"/>
      <c r="B35" s="166" t="s">
        <v>262</v>
      </c>
      <c r="C35" s="215">
        <f>SUM(D35:E35)</f>
        <v>-492636</v>
      </c>
      <c r="D35" s="235">
        <v>-79313</v>
      </c>
      <c r="E35" s="235">
        <v>-413323</v>
      </c>
      <c r="F35" s="163"/>
      <c r="K35" s="49"/>
      <c r="R35" s="49"/>
      <c r="S35" s="49"/>
      <c r="T35" s="49"/>
      <c r="U35" s="49"/>
      <c r="V35" s="49"/>
      <c r="W35" s="49"/>
      <c r="X35" s="49"/>
      <c r="Y35" s="49"/>
      <c r="Z35" s="49"/>
    </row>
    <row r="36" spans="1:26" ht="14.4">
      <c r="A36" s="167"/>
      <c r="B36" s="166" t="s">
        <v>261</v>
      </c>
      <c r="C36" s="230">
        <f>C32+C35</f>
        <v>1058914</v>
      </c>
      <c r="D36" s="230">
        <f>D32+D35</f>
        <v>170482.4</v>
      </c>
      <c r="E36" s="230">
        <f>E32+E35</f>
        <v>888431.39999999991</v>
      </c>
      <c r="F36" s="163"/>
      <c r="I36" s="229" t="s">
        <v>235</v>
      </c>
      <c r="J36" s="224">
        <v>91450</v>
      </c>
      <c r="K36" s="13">
        <v>-91449.5</v>
      </c>
      <c r="L36" s="229" t="s">
        <v>234</v>
      </c>
      <c r="R36" s="49"/>
      <c r="S36" s="49"/>
      <c r="T36" s="49"/>
      <c r="U36" s="49"/>
      <c r="V36" s="49"/>
      <c r="W36" s="49"/>
      <c r="X36" s="49"/>
      <c r="Y36" s="49"/>
      <c r="Z36" s="49"/>
    </row>
    <row r="37" spans="1:26" ht="14.4">
      <c r="I37" s="229" t="s">
        <v>233</v>
      </c>
      <c r="J37" s="224">
        <v>249795</v>
      </c>
      <c r="K37" s="13">
        <v>249795.44959999999</v>
      </c>
      <c r="R37" s="49"/>
      <c r="S37" s="49"/>
      <c r="T37" s="49"/>
      <c r="U37" s="49"/>
      <c r="V37" s="49"/>
      <c r="W37" s="49"/>
      <c r="X37" s="49"/>
      <c r="Y37" s="49"/>
      <c r="Z37" s="49"/>
    </row>
    <row r="38" spans="1:26" ht="14.4">
      <c r="I38" s="229" t="s">
        <v>232</v>
      </c>
      <c r="J38" s="224">
        <v>67127</v>
      </c>
      <c r="K38" s="13">
        <v>67127.161099999998</v>
      </c>
      <c r="R38" s="49"/>
      <c r="S38" s="49"/>
      <c r="T38" s="49"/>
      <c r="U38" s="49"/>
      <c r="V38" s="49"/>
      <c r="W38" s="49"/>
      <c r="X38" s="49"/>
      <c r="Y38" s="49"/>
      <c r="Z38" s="49"/>
    </row>
    <row r="39" spans="1:26" ht="14.4">
      <c r="B39" s="161" t="s">
        <v>214</v>
      </c>
      <c r="C39" s="13" t="s">
        <v>209</v>
      </c>
      <c r="D39" s="215">
        <f>(D29+D30+D31)</f>
        <v>91450</v>
      </c>
      <c r="E39" s="49" t="s">
        <v>213</v>
      </c>
      <c r="I39" s="229" t="s">
        <v>231</v>
      </c>
      <c r="J39" s="224">
        <v>3600</v>
      </c>
      <c r="K39" s="13">
        <v>3600.2842999999998</v>
      </c>
      <c r="L39" s="13">
        <f>J36/J37</f>
        <v>0.36610020216577593</v>
      </c>
      <c r="M39" s="13">
        <f>K36/K37</f>
        <v>-0.36609754159428853</v>
      </c>
      <c r="R39" s="49"/>
      <c r="S39" s="49"/>
      <c r="T39" s="49"/>
      <c r="U39" s="49"/>
      <c r="V39" s="49"/>
      <c r="W39" s="49"/>
      <c r="X39" s="49"/>
      <c r="Y39" s="49"/>
      <c r="Z39" s="49"/>
    </row>
    <row r="40" spans="1:26" ht="28.2">
      <c r="B40" s="161" t="s">
        <v>212</v>
      </c>
      <c r="C40" s="13" t="s">
        <v>209</v>
      </c>
      <c r="D40" s="215">
        <f>D35*(D39/D32)</f>
        <v>-29036.458837912949</v>
      </c>
      <c r="E40" s="13" t="s">
        <v>211</v>
      </c>
      <c r="I40" s="229" t="s">
        <v>230</v>
      </c>
      <c r="J40" s="224">
        <f>J38+J39</f>
        <v>70727</v>
      </c>
      <c r="L40" s="13">
        <f>L39*J40</f>
        <v>25893.168998578836</v>
      </c>
      <c r="M40" s="13">
        <f>M39*(K38+K39)</f>
        <v>-25893.143884184272</v>
      </c>
      <c r="R40" s="49"/>
      <c r="S40" s="49"/>
      <c r="T40" s="49"/>
      <c r="U40" s="49"/>
      <c r="V40" s="49"/>
      <c r="W40" s="49"/>
      <c r="X40" s="49"/>
      <c r="Y40" s="49"/>
      <c r="Z40" s="49"/>
    </row>
    <row r="41" spans="1:26" ht="28.8" thickBot="1">
      <c r="B41" s="161" t="s">
        <v>210</v>
      </c>
      <c r="C41" s="13" t="s">
        <v>209</v>
      </c>
      <c r="D41" s="228">
        <f>D39+D40</f>
        <v>62413.541162087051</v>
      </c>
      <c r="E41" s="227" t="s">
        <v>208</v>
      </c>
      <c r="F41" s="227" t="s">
        <v>229</v>
      </c>
      <c r="R41" s="49"/>
      <c r="S41" s="49"/>
      <c r="T41" s="49"/>
      <c r="U41" s="49"/>
      <c r="V41" s="49"/>
      <c r="W41" s="49"/>
      <c r="X41" s="49"/>
      <c r="Y41" s="49"/>
      <c r="Z41" s="49"/>
    </row>
    <row r="42" spans="1:26" ht="14.4" thickTop="1">
      <c r="B42" s="49"/>
      <c r="C42" s="49"/>
      <c r="D42" s="49"/>
      <c r="E42" s="49"/>
      <c r="F42" s="49"/>
      <c r="G42" s="49"/>
      <c r="H42" s="49"/>
      <c r="K42" s="224"/>
      <c r="R42" s="49"/>
      <c r="S42" s="49"/>
      <c r="T42" s="49"/>
      <c r="U42" s="49"/>
      <c r="V42" s="49"/>
      <c r="W42" s="49"/>
      <c r="X42" s="49"/>
      <c r="Y42" s="49"/>
      <c r="Z42" s="49"/>
    </row>
    <row r="43" spans="1:26">
      <c r="B43" s="13" t="s">
        <v>207</v>
      </c>
      <c r="C43" s="49" t="s">
        <v>206</v>
      </c>
      <c r="D43" s="235">
        <f>4842040/1000</f>
        <v>4842.04</v>
      </c>
      <c r="E43" s="49" t="s">
        <v>205</v>
      </c>
      <c r="F43" s="49"/>
      <c r="G43" s="49"/>
      <c r="H43" s="49"/>
      <c r="J43" s="225"/>
      <c r="K43" s="224"/>
      <c r="R43" s="49"/>
      <c r="S43" s="49"/>
      <c r="T43" s="49"/>
      <c r="U43" s="49"/>
      <c r="V43" s="49"/>
      <c r="W43" s="49"/>
      <c r="X43" s="49"/>
      <c r="Y43" s="49"/>
      <c r="Z43" s="49"/>
    </row>
    <row r="44" spans="1:26" ht="14.4" thickBot="1">
      <c r="R44" s="49"/>
      <c r="S44" s="49"/>
      <c r="T44" s="49"/>
      <c r="U44" s="49"/>
      <c r="V44" s="49"/>
      <c r="W44" s="49"/>
      <c r="X44" s="49"/>
      <c r="Y44" s="49"/>
      <c r="Z44" s="49"/>
    </row>
    <row r="45" spans="1:26" ht="15" thickBot="1">
      <c r="B45" s="13" t="s">
        <v>135</v>
      </c>
      <c r="C45" s="13" t="s">
        <v>97</v>
      </c>
      <c r="D45" s="223">
        <f>D41/(D43*365)</f>
        <v>3.5314867944874498E-2</v>
      </c>
      <c r="E45" s="49" t="s">
        <v>204</v>
      </c>
      <c r="J45" s="218" t="s">
        <v>228</v>
      </c>
      <c r="K45" s="222">
        <v>26038</v>
      </c>
      <c r="R45" s="49"/>
      <c r="S45" s="49"/>
      <c r="T45" s="49"/>
      <c r="U45" s="49"/>
      <c r="V45" s="49"/>
      <c r="W45" s="49"/>
      <c r="X45" s="49"/>
      <c r="Y45" s="49"/>
      <c r="Z45" s="49"/>
    </row>
    <row r="46" spans="1:26">
      <c r="K46" s="49"/>
      <c r="R46" s="49"/>
      <c r="S46" s="49"/>
      <c r="T46" s="49"/>
      <c r="U46" s="49"/>
      <c r="V46" s="49"/>
      <c r="W46" s="49"/>
      <c r="X46" s="49"/>
      <c r="Y46" s="49"/>
      <c r="Z46" s="49"/>
    </row>
    <row r="47" spans="1:26" s="87" customFormat="1"/>
    <row r="48" spans="1:26">
      <c r="A48" s="49"/>
      <c r="B48" s="150" t="s">
        <v>203</v>
      </c>
      <c r="K48" s="49"/>
    </row>
    <row r="49" spans="1:11">
      <c r="A49" s="49"/>
      <c r="B49" s="157"/>
      <c r="J49" s="156" t="s">
        <v>202</v>
      </c>
      <c r="K49" s="49"/>
    </row>
    <row r="50" spans="1:11">
      <c r="A50" s="49"/>
      <c r="B50" s="150" t="s">
        <v>201</v>
      </c>
      <c r="K50" s="49"/>
    </row>
    <row r="51" spans="1:11">
      <c r="A51" s="49"/>
      <c r="K51" s="49"/>
    </row>
    <row r="52" spans="1:11" ht="66">
      <c r="A52" s="49"/>
      <c r="B52" s="149"/>
      <c r="C52" s="148"/>
      <c r="D52" s="148" t="s">
        <v>200</v>
      </c>
      <c r="E52" s="148" t="s">
        <v>199</v>
      </c>
      <c r="F52" s="148" t="s">
        <v>198</v>
      </c>
      <c r="G52" s="148" t="s">
        <v>197</v>
      </c>
      <c r="H52" s="16"/>
      <c r="K52" s="49"/>
    </row>
    <row r="53" spans="1:11">
      <c r="A53" s="49"/>
      <c r="B53" s="149"/>
      <c r="C53" s="148"/>
      <c r="D53" s="148"/>
      <c r="E53" s="148"/>
      <c r="F53" s="148"/>
      <c r="G53" s="148"/>
      <c r="K53" s="49"/>
    </row>
    <row r="54" spans="1:11">
      <c r="A54" s="49"/>
      <c r="B54" s="147" t="s">
        <v>113</v>
      </c>
      <c r="C54" s="147" t="s">
        <v>112</v>
      </c>
      <c r="D54" s="472" t="s">
        <v>196</v>
      </c>
      <c r="E54" s="472"/>
      <c r="F54" s="472"/>
      <c r="G54" s="472"/>
      <c r="H54" s="94"/>
      <c r="J54" s="105" t="s">
        <v>178</v>
      </c>
      <c r="K54" s="49"/>
    </row>
    <row r="55" spans="1:11">
      <c r="A55" s="49"/>
      <c r="B55" s="145" t="s">
        <v>107</v>
      </c>
      <c r="C55" s="145" t="s">
        <v>106</v>
      </c>
      <c r="D55" s="145"/>
      <c r="E55" s="145"/>
      <c r="F55" s="145"/>
      <c r="G55" s="145"/>
      <c r="I55" s="144" t="s">
        <v>177</v>
      </c>
      <c r="J55" s="144" t="s">
        <v>176</v>
      </c>
      <c r="K55" s="49"/>
    </row>
    <row r="56" spans="1:11">
      <c r="A56" s="49"/>
      <c r="B56" s="145"/>
      <c r="C56" s="145"/>
      <c r="D56" s="145"/>
      <c r="E56" s="145"/>
      <c r="F56" s="145"/>
      <c r="G56" s="145"/>
      <c r="I56" s="144"/>
      <c r="J56" s="144"/>
      <c r="K56" s="49"/>
    </row>
    <row r="57" spans="1:11">
      <c r="A57" s="49"/>
      <c r="B57" s="473">
        <v>50</v>
      </c>
      <c r="C57" s="145">
        <v>50</v>
      </c>
      <c r="D57" s="143">
        <v>0</v>
      </c>
      <c r="E57" s="143">
        <v>1</v>
      </c>
      <c r="F57" s="143">
        <v>0</v>
      </c>
      <c r="G57" s="143">
        <v>0</v>
      </c>
      <c r="I57" s="155">
        <f t="shared" ref="I57:I74" si="0">D57*7+E57*2</f>
        <v>2</v>
      </c>
      <c r="J57" s="155">
        <f t="shared" ref="J57:J74" si="1">F57*12.8+G57*13.8</f>
        <v>0</v>
      </c>
      <c r="K57" s="49"/>
    </row>
    <row r="58" spans="1:11">
      <c r="A58" s="49"/>
      <c r="B58" s="473"/>
      <c r="C58" s="145">
        <v>100</v>
      </c>
      <c r="D58" s="143">
        <v>1</v>
      </c>
      <c r="E58" s="143">
        <v>0</v>
      </c>
      <c r="F58" s="143">
        <v>0.06</v>
      </c>
      <c r="G58" s="143">
        <v>0</v>
      </c>
      <c r="I58" s="155">
        <f t="shared" si="0"/>
        <v>7</v>
      </c>
      <c r="J58" s="155">
        <f t="shared" si="1"/>
        <v>0.76800000000000002</v>
      </c>
      <c r="K58" s="49"/>
    </row>
    <row r="59" spans="1:11">
      <c r="A59" s="49"/>
      <c r="B59" s="473"/>
      <c r="C59" s="145">
        <v>150</v>
      </c>
      <c r="D59" s="143">
        <v>1</v>
      </c>
      <c r="E59" s="143">
        <v>0</v>
      </c>
      <c r="F59" s="143">
        <v>0.19</v>
      </c>
      <c r="G59" s="143">
        <v>0</v>
      </c>
      <c r="I59" s="155">
        <f t="shared" si="0"/>
        <v>7</v>
      </c>
      <c r="J59" s="155">
        <f t="shared" si="1"/>
        <v>2.4320000000000004</v>
      </c>
      <c r="K59" s="49"/>
    </row>
    <row r="60" spans="1:11">
      <c r="A60" s="49"/>
      <c r="B60" s="473"/>
      <c r="C60" s="145">
        <v>200</v>
      </c>
      <c r="D60" s="143">
        <v>1</v>
      </c>
      <c r="E60" s="143">
        <v>0</v>
      </c>
      <c r="F60" s="143">
        <v>0.35</v>
      </c>
      <c r="G60" s="143">
        <v>0</v>
      </c>
      <c r="I60" s="155">
        <f t="shared" si="0"/>
        <v>7</v>
      </c>
      <c r="J60" s="155">
        <f t="shared" si="1"/>
        <v>4.4799999999999995</v>
      </c>
      <c r="K60" s="49"/>
    </row>
    <row r="61" spans="1:11">
      <c r="A61" s="49"/>
      <c r="B61" s="473"/>
      <c r="C61" s="145">
        <v>250</v>
      </c>
      <c r="D61" s="143">
        <v>1</v>
      </c>
      <c r="E61" s="143">
        <v>0</v>
      </c>
      <c r="F61" s="143">
        <v>0.61</v>
      </c>
      <c r="G61" s="143">
        <v>0</v>
      </c>
      <c r="I61" s="155">
        <f t="shared" si="0"/>
        <v>7</v>
      </c>
      <c r="J61" s="155">
        <f t="shared" si="1"/>
        <v>7.8079999999999998</v>
      </c>
      <c r="K61" s="49"/>
    </row>
    <row r="62" spans="1:11">
      <c r="A62" s="49"/>
      <c r="B62" s="473"/>
      <c r="C62" s="145">
        <v>300</v>
      </c>
      <c r="D62" s="143">
        <v>1</v>
      </c>
      <c r="E62" s="143">
        <v>0</v>
      </c>
      <c r="F62" s="143">
        <v>1</v>
      </c>
      <c r="G62" s="143">
        <v>0.01</v>
      </c>
      <c r="I62" s="155">
        <f t="shared" si="0"/>
        <v>7</v>
      </c>
      <c r="J62" s="155">
        <f t="shared" si="1"/>
        <v>12.938000000000001</v>
      </c>
      <c r="K62" s="49"/>
    </row>
    <row r="63" spans="1:11">
      <c r="A63" s="49"/>
      <c r="B63" s="473">
        <v>100</v>
      </c>
      <c r="C63" s="145">
        <v>100</v>
      </c>
      <c r="D63" s="143">
        <v>1</v>
      </c>
      <c r="E63" s="143">
        <v>0</v>
      </c>
      <c r="F63" s="143">
        <v>0.06</v>
      </c>
      <c r="G63" s="143">
        <v>0</v>
      </c>
      <c r="I63" s="155">
        <f t="shared" si="0"/>
        <v>7</v>
      </c>
      <c r="J63" s="155">
        <f t="shared" si="1"/>
        <v>0.76800000000000002</v>
      </c>
      <c r="K63" s="49"/>
    </row>
    <row r="64" spans="1:11">
      <c r="A64" s="49"/>
      <c r="B64" s="473"/>
      <c r="C64" s="145">
        <v>150</v>
      </c>
      <c r="D64" s="143">
        <v>1</v>
      </c>
      <c r="E64" s="143">
        <v>0</v>
      </c>
      <c r="F64" s="143">
        <v>0.2</v>
      </c>
      <c r="G64" s="143">
        <v>0</v>
      </c>
      <c r="I64" s="155">
        <f t="shared" si="0"/>
        <v>7</v>
      </c>
      <c r="J64" s="155">
        <f t="shared" si="1"/>
        <v>2.5600000000000005</v>
      </c>
      <c r="K64" s="49"/>
    </row>
    <row r="65" spans="1:11">
      <c r="A65" s="49"/>
      <c r="B65" s="473"/>
      <c r="C65" s="145">
        <v>200</v>
      </c>
      <c r="D65" s="143">
        <v>1</v>
      </c>
      <c r="E65" s="143">
        <v>0</v>
      </c>
      <c r="F65" s="143">
        <v>0.4</v>
      </c>
      <c r="G65" s="143">
        <v>0</v>
      </c>
      <c r="I65" s="155">
        <f t="shared" si="0"/>
        <v>7</v>
      </c>
      <c r="J65" s="155">
        <f t="shared" si="1"/>
        <v>5.120000000000001</v>
      </c>
      <c r="K65" s="49"/>
    </row>
    <row r="66" spans="1:11">
      <c r="A66" s="49"/>
      <c r="B66" s="473"/>
      <c r="C66" s="145">
        <v>250</v>
      </c>
      <c r="D66" s="143">
        <v>1</v>
      </c>
      <c r="E66" s="143">
        <v>0</v>
      </c>
      <c r="F66" s="143">
        <v>0.78</v>
      </c>
      <c r="G66" s="143">
        <v>0</v>
      </c>
      <c r="I66" s="155">
        <f t="shared" si="0"/>
        <v>7</v>
      </c>
      <c r="J66" s="155">
        <f t="shared" si="1"/>
        <v>9.9840000000000018</v>
      </c>
      <c r="K66" s="49"/>
    </row>
    <row r="67" spans="1:11">
      <c r="A67" s="49"/>
      <c r="B67" s="473"/>
      <c r="C67" s="145">
        <v>300</v>
      </c>
      <c r="D67" s="143">
        <v>1</v>
      </c>
      <c r="E67" s="143">
        <v>0</v>
      </c>
      <c r="F67" s="143">
        <v>1</v>
      </c>
      <c r="G67" s="143">
        <v>0.05</v>
      </c>
      <c r="I67" s="155">
        <f t="shared" si="0"/>
        <v>7</v>
      </c>
      <c r="J67" s="155">
        <f t="shared" si="1"/>
        <v>13.49</v>
      </c>
      <c r="K67" s="49"/>
    </row>
    <row r="68" spans="1:11">
      <c r="A68" s="49"/>
      <c r="B68" s="473">
        <v>150</v>
      </c>
      <c r="C68" s="145">
        <v>150</v>
      </c>
      <c r="D68" s="143">
        <v>1</v>
      </c>
      <c r="E68" s="143">
        <v>0</v>
      </c>
      <c r="F68" s="143">
        <v>0.2</v>
      </c>
      <c r="G68" s="143">
        <v>0</v>
      </c>
      <c r="I68" s="155">
        <f t="shared" si="0"/>
        <v>7</v>
      </c>
      <c r="J68" s="155">
        <f t="shared" si="1"/>
        <v>2.5600000000000005</v>
      </c>
      <c r="K68" s="49"/>
    </row>
    <row r="69" spans="1:11">
      <c r="A69" s="49"/>
      <c r="B69" s="473"/>
      <c r="C69" s="145">
        <v>200</v>
      </c>
      <c r="D69" s="143">
        <v>1</v>
      </c>
      <c r="E69" s="143">
        <v>0</v>
      </c>
      <c r="F69" s="143">
        <v>0.4</v>
      </c>
      <c r="G69" s="143">
        <v>0</v>
      </c>
      <c r="I69" s="155">
        <f t="shared" si="0"/>
        <v>7</v>
      </c>
      <c r="J69" s="155">
        <f t="shared" si="1"/>
        <v>5.120000000000001</v>
      </c>
      <c r="K69" s="49"/>
    </row>
    <row r="70" spans="1:11">
      <c r="A70" s="49"/>
      <c r="B70" s="473"/>
      <c r="C70" s="145">
        <v>250</v>
      </c>
      <c r="D70" s="143">
        <v>1</v>
      </c>
      <c r="E70" s="143">
        <v>0</v>
      </c>
      <c r="F70" s="143">
        <v>0.82</v>
      </c>
      <c r="G70" s="143">
        <v>0</v>
      </c>
      <c r="I70" s="155">
        <f t="shared" si="0"/>
        <v>7</v>
      </c>
      <c r="J70" s="155">
        <f t="shared" si="1"/>
        <v>10.496</v>
      </c>
      <c r="K70" s="49"/>
    </row>
    <row r="71" spans="1:11">
      <c r="A71" s="49"/>
      <c r="B71" s="473"/>
      <c r="C71" s="145">
        <v>300</v>
      </c>
      <c r="D71" s="143">
        <v>1</v>
      </c>
      <c r="E71" s="143">
        <v>0</v>
      </c>
      <c r="F71" s="143">
        <v>1</v>
      </c>
      <c r="G71" s="143">
        <v>0.06</v>
      </c>
      <c r="I71" s="155">
        <f t="shared" si="0"/>
        <v>7</v>
      </c>
      <c r="J71" s="155">
        <f t="shared" si="1"/>
        <v>13.628</v>
      </c>
      <c r="K71" s="49"/>
    </row>
    <row r="72" spans="1:11">
      <c r="A72" s="49"/>
      <c r="B72" s="473">
        <v>200</v>
      </c>
      <c r="C72" s="145">
        <v>200</v>
      </c>
      <c r="D72" s="143">
        <v>1</v>
      </c>
      <c r="E72" s="143">
        <v>0</v>
      </c>
      <c r="F72" s="143">
        <v>0.4</v>
      </c>
      <c r="G72" s="143">
        <v>0</v>
      </c>
      <c r="I72" s="155">
        <f t="shared" si="0"/>
        <v>7</v>
      </c>
      <c r="J72" s="155">
        <f t="shared" si="1"/>
        <v>5.120000000000001</v>
      </c>
      <c r="K72" s="49"/>
    </row>
    <row r="73" spans="1:11">
      <c r="A73" s="49"/>
      <c r="B73" s="473"/>
      <c r="C73" s="145">
        <v>250</v>
      </c>
      <c r="D73" s="143">
        <v>1</v>
      </c>
      <c r="E73" s="143">
        <v>0</v>
      </c>
      <c r="F73" s="143">
        <v>0.82</v>
      </c>
      <c r="G73" s="143">
        <v>0</v>
      </c>
      <c r="I73" s="155">
        <f t="shared" si="0"/>
        <v>7</v>
      </c>
      <c r="J73" s="155">
        <f t="shared" si="1"/>
        <v>10.496</v>
      </c>
      <c r="K73" s="49"/>
    </row>
    <row r="74" spans="1:11">
      <c r="A74" s="49"/>
      <c r="B74" s="473"/>
      <c r="C74" s="145">
        <v>300</v>
      </c>
      <c r="D74" s="143">
        <v>1</v>
      </c>
      <c r="E74" s="143">
        <v>0</v>
      </c>
      <c r="F74" s="143">
        <v>1</v>
      </c>
      <c r="G74" s="143">
        <v>7.0000000000000007E-2</v>
      </c>
      <c r="I74" s="155">
        <f t="shared" si="0"/>
        <v>7</v>
      </c>
      <c r="J74" s="155">
        <f t="shared" si="1"/>
        <v>13.766000000000002</v>
      </c>
      <c r="K74" s="49"/>
    </row>
    <row r="75" spans="1:11">
      <c r="A75" s="49"/>
      <c r="B75" s="49"/>
      <c r="C75" s="49"/>
      <c r="D75" s="49"/>
      <c r="E75" s="49"/>
      <c r="F75" s="49"/>
      <c r="G75" s="49"/>
      <c r="K75" s="49"/>
    </row>
    <row r="76" spans="1:11">
      <c r="A76" s="49"/>
      <c r="B76" s="150" t="s">
        <v>195</v>
      </c>
      <c r="I76" s="49"/>
      <c r="J76" s="49"/>
      <c r="K76" s="49"/>
    </row>
    <row r="77" spans="1:11">
      <c r="A77" s="49"/>
      <c r="B77" s="150"/>
      <c r="K77" s="49"/>
    </row>
    <row r="78" spans="1:11">
      <c r="A78" s="49"/>
      <c r="B78" s="145" t="s">
        <v>194</v>
      </c>
      <c r="C78" s="154" t="s">
        <v>193</v>
      </c>
      <c r="D78" s="154" t="s">
        <v>192</v>
      </c>
      <c r="E78" s="154" t="s">
        <v>191</v>
      </c>
      <c r="F78" s="144" t="s">
        <v>190</v>
      </c>
      <c r="K78" s="49"/>
    </row>
    <row r="79" spans="1:11">
      <c r="A79" s="49"/>
      <c r="B79" s="145" t="s">
        <v>107</v>
      </c>
      <c r="C79" s="16"/>
      <c r="D79" s="16"/>
      <c r="E79" s="16"/>
      <c r="F79" s="153" t="s">
        <v>189</v>
      </c>
      <c r="K79" s="49"/>
    </row>
    <row r="80" spans="1:11">
      <c r="A80" s="49"/>
      <c r="B80" s="145"/>
      <c r="C80" s="16"/>
      <c r="D80" s="16"/>
      <c r="E80" s="16"/>
      <c r="F80" s="48"/>
      <c r="K80" s="49"/>
    </row>
    <row r="81" spans="1:11">
      <c r="A81" s="49"/>
      <c r="B81" s="145">
        <v>50</v>
      </c>
      <c r="C81" s="145">
        <v>24</v>
      </c>
      <c r="D81" s="145" t="s">
        <v>186</v>
      </c>
      <c r="E81" s="145" t="s">
        <v>185</v>
      </c>
      <c r="F81" s="145">
        <v>20.100000000000001</v>
      </c>
      <c r="K81" s="49"/>
    </row>
    <row r="82" spans="1:11">
      <c r="A82" s="49"/>
      <c r="B82" s="145"/>
      <c r="C82" s="145">
        <v>36</v>
      </c>
      <c r="D82" s="145" t="s">
        <v>183</v>
      </c>
      <c r="E82" s="145" t="s">
        <v>188</v>
      </c>
      <c r="F82" s="145">
        <v>25.3</v>
      </c>
      <c r="K82" s="49"/>
    </row>
    <row r="83" spans="1:11" ht="14.4" thickBot="1">
      <c r="A83" s="49"/>
      <c r="B83" s="145"/>
      <c r="C83" s="145"/>
      <c r="D83" s="145"/>
      <c r="E83" s="145"/>
      <c r="F83" s="152">
        <f>F82+F81</f>
        <v>45.400000000000006</v>
      </c>
      <c r="K83" s="49"/>
    </row>
    <row r="84" spans="1:11">
      <c r="A84" s="49"/>
      <c r="B84" s="145"/>
      <c r="C84" s="145"/>
      <c r="D84" s="145"/>
      <c r="E84" s="145"/>
      <c r="F84" s="145"/>
      <c r="K84" s="49"/>
    </row>
    <row r="85" spans="1:11">
      <c r="A85" s="49"/>
      <c r="B85" s="145">
        <v>100</v>
      </c>
      <c r="C85" s="145">
        <v>24</v>
      </c>
      <c r="D85" s="145" t="s">
        <v>186</v>
      </c>
      <c r="E85" s="145" t="s">
        <v>185</v>
      </c>
      <c r="F85" s="145">
        <v>20.100000000000001</v>
      </c>
      <c r="K85" s="49"/>
    </row>
    <row r="86" spans="1:11">
      <c r="A86" s="49"/>
      <c r="B86" s="145"/>
      <c r="C86" s="145">
        <v>36</v>
      </c>
      <c r="D86" s="145" t="s">
        <v>183</v>
      </c>
      <c r="E86" s="145" t="s">
        <v>188</v>
      </c>
      <c r="F86" s="145">
        <v>25.3</v>
      </c>
      <c r="K86" s="49"/>
    </row>
    <row r="87" spans="1:11">
      <c r="A87" s="49"/>
      <c r="B87" s="145"/>
      <c r="C87" s="145">
        <v>36</v>
      </c>
      <c r="D87" s="145" t="s">
        <v>187</v>
      </c>
      <c r="E87" s="145" t="s">
        <v>182</v>
      </c>
      <c r="F87" s="145">
        <v>32.799999999999997</v>
      </c>
      <c r="K87" s="49"/>
    </row>
    <row r="88" spans="1:11" ht="14.4" thickBot="1">
      <c r="A88" s="49"/>
      <c r="B88" s="145"/>
      <c r="C88" s="145"/>
      <c r="D88" s="145"/>
      <c r="E88" s="145"/>
      <c r="F88" s="152">
        <f>SUM(F85:F87)</f>
        <v>78.2</v>
      </c>
      <c r="K88" s="49"/>
    </row>
    <row r="89" spans="1:11">
      <c r="A89" s="49"/>
      <c r="B89" s="145"/>
      <c r="C89" s="145"/>
      <c r="D89" s="145"/>
      <c r="E89" s="145"/>
      <c r="F89" s="145"/>
      <c r="K89" s="49"/>
    </row>
    <row r="90" spans="1:11">
      <c r="A90" s="49"/>
      <c r="B90" s="145">
        <v>150</v>
      </c>
      <c r="C90" s="145">
        <v>36</v>
      </c>
      <c r="D90" s="145" t="s">
        <v>186</v>
      </c>
      <c r="E90" s="145" t="s">
        <v>185</v>
      </c>
      <c r="F90" s="145">
        <v>20.100000000000001</v>
      </c>
      <c r="K90" s="49"/>
    </row>
    <row r="91" spans="1:11">
      <c r="A91" s="49"/>
      <c r="B91" s="145"/>
      <c r="C91" s="145">
        <v>36</v>
      </c>
      <c r="D91" s="145" t="s">
        <v>183</v>
      </c>
      <c r="E91" s="145" t="s">
        <v>184</v>
      </c>
      <c r="F91" s="145">
        <v>103.3</v>
      </c>
      <c r="K91" s="49"/>
    </row>
    <row r="92" spans="1:11" ht="14.4" thickBot="1">
      <c r="A92" s="49"/>
      <c r="B92" s="145"/>
      <c r="C92" s="145"/>
      <c r="D92" s="145"/>
      <c r="E92" s="145"/>
      <c r="F92" s="152">
        <f>F91+F90</f>
        <v>123.4</v>
      </c>
      <c r="K92" s="49"/>
    </row>
    <row r="93" spans="1:11">
      <c r="A93" s="49"/>
      <c r="B93" s="145"/>
      <c r="C93" s="145"/>
      <c r="D93" s="145"/>
      <c r="E93" s="145"/>
      <c r="F93" s="145"/>
      <c r="K93" s="49"/>
    </row>
    <row r="94" spans="1:11">
      <c r="A94" s="49"/>
      <c r="B94" s="145">
        <v>200</v>
      </c>
      <c r="C94" s="145">
        <v>42</v>
      </c>
      <c r="D94" s="145" t="s">
        <v>186</v>
      </c>
      <c r="E94" s="145" t="s">
        <v>185</v>
      </c>
      <c r="F94" s="145">
        <v>20.100000000000001</v>
      </c>
      <c r="K94" s="49"/>
    </row>
    <row r="95" spans="1:11">
      <c r="A95" s="49"/>
      <c r="B95" s="16"/>
      <c r="C95" s="145">
        <v>42</v>
      </c>
      <c r="D95" s="145" t="s">
        <v>182</v>
      </c>
      <c r="E95" s="145" t="s">
        <v>184</v>
      </c>
      <c r="F95" s="145">
        <v>32.700000000000003</v>
      </c>
      <c r="K95" s="49"/>
    </row>
    <row r="96" spans="1:11">
      <c r="A96" s="49"/>
      <c r="C96" s="145">
        <v>48</v>
      </c>
      <c r="D96" s="145" t="s">
        <v>183</v>
      </c>
      <c r="E96" s="145" t="s">
        <v>182</v>
      </c>
      <c r="F96" s="145">
        <v>70.7</v>
      </c>
      <c r="K96" s="49"/>
    </row>
    <row r="97" spans="1:11" ht="14.4" thickBot="1">
      <c r="A97" s="49"/>
      <c r="F97" s="152">
        <f>F96+F95+F94</f>
        <v>123.5</v>
      </c>
      <c r="K97" s="49"/>
    </row>
    <row r="98" spans="1:11">
      <c r="A98" s="49"/>
      <c r="K98" s="49"/>
    </row>
    <row r="99" spans="1:11">
      <c r="A99" s="49"/>
      <c r="B99" s="151"/>
      <c r="C99" s="151"/>
      <c r="D99" s="151"/>
      <c r="E99" s="151"/>
      <c r="F99" s="151"/>
      <c r="G99" s="151"/>
      <c r="H99" s="151"/>
      <c r="K99" s="49"/>
    </row>
    <row r="100" spans="1:11">
      <c r="A100" s="49"/>
      <c r="I100" s="16"/>
      <c r="J100" s="16"/>
      <c r="K100" s="49"/>
    </row>
    <row r="101" spans="1:11">
      <c r="A101" s="49"/>
      <c r="B101" s="150" t="s">
        <v>181</v>
      </c>
      <c r="I101" s="16"/>
      <c r="J101" s="16"/>
      <c r="K101" s="49"/>
    </row>
    <row r="102" spans="1:11">
      <c r="A102" s="49"/>
      <c r="B102" s="150"/>
      <c r="K102" s="49"/>
    </row>
    <row r="103" spans="1:11" ht="52.8">
      <c r="A103" s="49"/>
      <c r="B103" s="149"/>
      <c r="C103" s="148"/>
      <c r="D103" s="148" t="s">
        <v>180</v>
      </c>
      <c r="E103" s="145" t="s">
        <v>179</v>
      </c>
      <c r="G103" s="105" t="s">
        <v>178</v>
      </c>
      <c r="H103" s="16"/>
      <c r="K103" s="49"/>
    </row>
    <row r="104" spans="1:11">
      <c r="A104" s="49"/>
      <c r="B104" s="147" t="s">
        <v>113</v>
      </c>
      <c r="C104" s="147" t="s">
        <v>112</v>
      </c>
      <c r="D104" s="146"/>
      <c r="E104" s="146"/>
      <c r="F104" s="144" t="s">
        <v>177</v>
      </c>
      <c r="G104" s="144" t="s">
        <v>176</v>
      </c>
      <c r="H104" s="94"/>
      <c r="K104" s="49"/>
    </row>
    <row r="105" spans="1:11">
      <c r="A105" s="49"/>
      <c r="B105" s="145" t="s">
        <v>107</v>
      </c>
      <c r="C105" s="145" t="s">
        <v>106</v>
      </c>
      <c r="D105" s="145"/>
      <c r="F105" s="144"/>
      <c r="G105" s="144"/>
      <c r="K105" s="49"/>
    </row>
    <row r="106" spans="1:11">
      <c r="A106" s="49"/>
      <c r="K106" s="49"/>
    </row>
    <row r="107" spans="1:11">
      <c r="A107" s="49"/>
      <c r="B107" s="13">
        <v>50</v>
      </c>
      <c r="D107" s="143">
        <v>1</v>
      </c>
      <c r="F107" s="105">
        <f>D107*1+E107*6</f>
        <v>1</v>
      </c>
      <c r="G107" s="142">
        <v>0</v>
      </c>
      <c r="K107" s="49"/>
    </row>
    <row r="108" spans="1:11">
      <c r="A108" s="49"/>
      <c r="B108" s="13">
        <v>100</v>
      </c>
      <c r="D108" s="143">
        <v>1</v>
      </c>
      <c r="F108" s="105">
        <f>D108*1+E108*6</f>
        <v>1</v>
      </c>
      <c r="G108" s="142">
        <v>0</v>
      </c>
      <c r="K108" s="49"/>
    </row>
    <row r="109" spans="1:11">
      <c r="A109" s="49"/>
      <c r="D109" s="143"/>
      <c r="F109" s="105"/>
      <c r="G109" s="142"/>
      <c r="K109" s="49"/>
    </row>
    <row r="110" spans="1:11">
      <c r="A110" s="49"/>
      <c r="B110" s="13">
        <v>150</v>
      </c>
      <c r="E110" s="143">
        <v>1</v>
      </c>
      <c r="F110" s="105">
        <f>D110*1+E110*6</f>
        <v>6</v>
      </c>
      <c r="G110" s="142">
        <v>0</v>
      </c>
      <c r="K110" s="49"/>
    </row>
    <row r="111" spans="1:11">
      <c r="A111" s="49"/>
      <c r="B111" s="13">
        <v>200</v>
      </c>
      <c r="E111" s="143">
        <v>1</v>
      </c>
      <c r="F111" s="105">
        <f>D111*1+E111*6</f>
        <v>6</v>
      </c>
      <c r="G111" s="142">
        <v>0</v>
      </c>
      <c r="K111" s="49"/>
    </row>
    <row r="112" spans="1:11">
      <c r="A112" s="49"/>
      <c r="K112" s="49"/>
    </row>
    <row r="113" spans="1:28" s="87" customFormat="1"/>
    <row r="114" spans="1:28">
      <c r="A114" s="49"/>
      <c r="K114" s="49"/>
      <c r="T114" s="49"/>
      <c r="U114" s="49"/>
      <c r="V114" s="49"/>
      <c r="W114" s="49"/>
      <c r="X114" s="49"/>
      <c r="Y114" s="49"/>
      <c r="Z114" s="49"/>
      <c r="AA114" s="49"/>
      <c r="AB114" s="49"/>
    </row>
    <row r="115" spans="1:28">
      <c r="A115" s="49"/>
      <c r="K115" s="49"/>
      <c r="T115" s="49"/>
      <c r="U115" s="49"/>
      <c r="V115" s="49"/>
      <c r="W115" s="49"/>
      <c r="X115" s="49"/>
      <c r="Y115" s="49"/>
      <c r="Z115" s="49"/>
      <c r="AA115" s="49"/>
      <c r="AB115" s="49"/>
    </row>
    <row r="116" spans="1:28">
      <c r="A116" s="49"/>
      <c r="K116" s="125" t="s">
        <v>175</v>
      </c>
      <c r="T116" s="49"/>
      <c r="U116" s="49"/>
      <c r="V116" s="49"/>
      <c r="W116" s="49"/>
      <c r="X116" s="49"/>
      <c r="Y116" s="49"/>
      <c r="Z116" s="49"/>
      <c r="AA116" s="49"/>
      <c r="AB116" s="49"/>
    </row>
    <row r="117" spans="1:28">
      <c r="A117" s="49"/>
      <c r="B117" s="124" t="s">
        <v>174</v>
      </c>
      <c r="K117" s="49"/>
      <c r="T117" s="49"/>
      <c r="U117" s="49"/>
      <c r="V117" s="49"/>
      <c r="W117" s="49"/>
      <c r="X117" s="49"/>
      <c r="Y117" s="49"/>
      <c r="Z117" s="49"/>
      <c r="AA117" s="49"/>
      <c r="AB117" s="49"/>
    </row>
    <row r="118" spans="1:28">
      <c r="A118" s="49"/>
      <c r="B118" s="43"/>
      <c r="K118" s="49"/>
      <c r="T118" s="49"/>
      <c r="U118" s="49"/>
      <c r="V118" s="49"/>
      <c r="W118" s="49"/>
      <c r="X118" s="49"/>
      <c r="Y118" s="49"/>
      <c r="Z118" s="49"/>
      <c r="AA118" s="49"/>
      <c r="AB118" s="49"/>
    </row>
    <row r="119" spans="1:28">
      <c r="A119" s="49"/>
      <c r="B119" s="129" t="s">
        <v>173</v>
      </c>
      <c r="C119" s="94"/>
      <c r="D119" s="94"/>
      <c r="E119" s="94"/>
      <c r="K119" s="49"/>
      <c r="T119" s="49"/>
      <c r="U119" s="49"/>
      <c r="V119" s="49"/>
      <c r="W119" s="49"/>
      <c r="X119" s="49"/>
      <c r="Y119" s="49"/>
      <c r="Z119" s="49"/>
      <c r="AA119" s="49"/>
      <c r="AB119" s="49"/>
    </row>
    <row r="120" spans="1:28" ht="14.4">
      <c r="A120" s="49"/>
      <c r="B120" s="94" t="s">
        <v>172</v>
      </c>
      <c r="C120" s="94"/>
      <c r="D120" s="221">
        <f>D15</f>
        <v>14101.476000000001</v>
      </c>
      <c r="E120" s="141" t="s">
        <v>171</v>
      </c>
      <c r="K120" s="49"/>
      <c r="T120" s="49"/>
      <c r="U120" s="49"/>
      <c r="V120" s="49"/>
      <c r="W120" s="49"/>
      <c r="X120" s="49"/>
      <c r="Y120" s="49"/>
      <c r="Z120" s="49"/>
      <c r="AA120" s="49"/>
      <c r="AB120" s="49"/>
    </row>
    <row r="121" spans="1:28" ht="14.4">
      <c r="A121" s="49"/>
      <c r="B121" s="94" t="s">
        <v>170</v>
      </c>
      <c r="C121" s="94"/>
      <c r="D121" s="221">
        <f>D16</f>
        <v>146</v>
      </c>
      <c r="E121" s="141" t="s">
        <v>169</v>
      </c>
      <c r="T121" s="49"/>
      <c r="U121" s="49"/>
      <c r="V121" s="49"/>
      <c r="W121" s="49"/>
      <c r="X121" s="49"/>
      <c r="Y121" s="49"/>
      <c r="Z121" s="49"/>
      <c r="AA121" s="49"/>
      <c r="AB121" s="49"/>
    </row>
    <row r="122" spans="1:28" ht="14.4">
      <c r="A122" s="49"/>
      <c r="B122" s="94" t="s">
        <v>168</v>
      </c>
      <c r="C122" s="94"/>
      <c r="D122" s="221">
        <f>D17</f>
        <v>2337</v>
      </c>
      <c r="E122" s="141" t="s">
        <v>103</v>
      </c>
      <c r="T122" s="49"/>
      <c r="U122" s="49"/>
      <c r="V122" s="49"/>
      <c r="W122" s="49"/>
      <c r="X122" s="49"/>
      <c r="Y122" s="49"/>
      <c r="Z122" s="49"/>
      <c r="AA122" s="49"/>
      <c r="AB122" s="49"/>
    </row>
    <row r="123" spans="1:28" ht="14.4">
      <c r="A123" s="49"/>
      <c r="B123" s="94" t="s">
        <v>167</v>
      </c>
      <c r="C123" s="94"/>
      <c r="D123" s="221">
        <f>D18</f>
        <v>27095983</v>
      </c>
      <c r="E123" s="141" t="s">
        <v>166</v>
      </c>
      <c r="T123" s="49"/>
      <c r="U123" s="49"/>
      <c r="V123" s="49"/>
      <c r="W123" s="49"/>
      <c r="X123" s="49"/>
      <c r="Y123" s="49"/>
      <c r="Z123" s="49"/>
      <c r="AA123" s="49"/>
      <c r="AB123" s="49"/>
    </row>
    <row r="124" spans="1:28">
      <c r="A124" s="49"/>
      <c r="B124" s="94"/>
      <c r="C124" s="94"/>
      <c r="D124" s="107"/>
      <c r="E124" s="141"/>
      <c r="T124" s="49"/>
      <c r="U124" s="49"/>
      <c r="V124" s="49"/>
      <c r="W124" s="49"/>
      <c r="X124" s="49"/>
      <c r="Y124" s="49"/>
      <c r="Z124" s="49"/>
      <c r="AA124" s="49"/>
      <c r="AB124" s="49"/>
    </row>
    <row r="125" spans="1:28">
      <c r="A125" s="49"/>
      <c r="B125" s="94"/>
      <c r="C125" s="94"/>
      <c r="D125" s="107"/>
      <c r="E125" s="141"/>
      <c r="T125" s="49"/>
      <c r="U125" s="49"/>
      <c r="V125" s="49"/>
      <c r="W125" s="49"/>
      <c r="X125" s="49"/>
      <c r="Y125" s="49"/>
      <c r="Z125" s="49"/>
      <c r="AA125" s="49"/>
      <c r="AB125" s="49"/>
    </row>
    <row r="126" spans="1:28">
      <c r="A126" s="49"/>
      <c r="B126" s="129" t="s">
        <v>165</v>
      </c>
      <c r="C126" s="94"/>
      <c r="D126" s="107"/>
      <c r="E126" s="141"/>
      <c r="T126" s="49"/>
      <c r="U126" s="49"/>
      <c r="V126" s="49"/>
      <c r="W126" s="49"/>
      <c r="X126" s="49"/>
      <c r="Y126" s="49"/>
      <c r="Z126" s="49"/>
      <c r="AA126" s="49"/>
      <c r="AB126" s="49"/>
    </row>
    <row r="127" spans="1:28" ht="14.4">
      <c r="A127" s="49"/>
      <c r="B127" s="139" t="s">
        <v>164</v>
      </c>
      <c r="C127" s="139"/>
      <c r="D127" s="234">
        <v>888431691</v>
      </c>
      <c r="E127" s="137" t="s">
        <v>163</v>
      </c>
      <c r="F127" s="220" t="s">
        <v>228</v>
      </c>
      <c r="I127" s="219">
        <v>931109202</v>
      </c>
      <c r="J127" s="218" t="s">
        <v>227</v>
      </c>
      <c r="K127" s="217"/>
      <c r="T127" s="49"/>
      <c r="U127" s="49"/>
      <c r="V127" s="49"/>
      <c r="W127" s="49"/>
      <c r="X127" s="49"/>
      <c r="Y127" s="49"/>
      <c r="Z127" s="49"/>
      <c r="AA127" s="49"/>
      <c r="AB127" s="49"/>
    </row>
    <row r="128" spans="1:28">
      <c r="A128" s="49"/>
      <c r="B128" s="139"/>
      <c r="C128" s="139"/>
      <c r="D128" s="139"/>
      <c r="E128" s="140"/>
      <c r="F128" s="49"/>
      <c r="T128" s="49"/>
      <c r="U128" s="49"/>
      <c r="V128" s="49"/>
      <c r="W128" s="49"/>
      <c r="X128" s="49"/>
      <c r="Y128" s="49"/>
      <c r="Z128" s="49"/>
      <c r="AA128" s="49"/>
      <c r="AB128" s="49"/>
    </row>
    <row r="129" spans="1:28">
      <c r="A129" s="49"/>
      <c r="B129" s="139" t="s">
        <v>162</v>
      </c>
      <c r="C129" s="139"/>
      <c r="D129" s="234">
        <v>5171632000</v>
      </c>
      <c r="E129" s="137" t="s">
        <v>161</v>
      </c>
      <c r="T129" s="49"/>
      <c r="U129" s="49"/>
      <c r="V129" s="49"/>
      <c r="W129" s="49"/>
      <c r="X129" s="49"/>
      <c r="Y129" s="49"/>
      <c r="Z129" s="49"/>
      <c r="AA129" s="49"/>
      <c r="AB129" s="49"/>
    </row>
    <row r="130" spans="1:28">
      <c r="A130" s="49"/>
      <c r="B130" s="139"/>
      <c r="C130" s="139"/>
      <c r="D130" s="138"/>
      <c r="E130" s="137"/>
      <c r="F130" s="49"/>
      <c r="T130" s="49"/>
      <c r="U130" s="49"/>
      <c r="V130" s="49"/>
      <c r="W130" s="49"/>
      <c r="X130" s="49"/>
      <c r="Y130" s="49"/>
      <c r="Z130" s="49"/>
      <c r="AA130" s="49"/>
      <c r="AB130" s="49"/>
    </row>
    <row r="131" spans="1:28">
      <c r="A131" s="49"/>
      <c r="B131" s="94"/>
      <c r="C131" s="94"/>
      <c r="D131" s="136"/>
      <c r="E131" s="102"/>
      <c r="T131" s="49"/>
      <c r="U131" s="49"/>
      <c r="V131" s="49"/>
      <c r="W131" s="49"/>
      <c r="X131" s="49"/>
      <c r="Y131" s="49"/>
      <c r="Z131" s="49"/>
      <c r="AA131" s="49"/>
      <c r="AB131" s="49"/>
    </row>
    <row r="132" spans="1:28">
      <c r="A132" s="49"/>
      <c r="B132" s="94"/>
      <c r="C132" s="94"/>
      <c r="D132" s="105" t="s">
        <v>160</v>
      </c>
      <c r="E132" s="102"/>
      <c r="F132" s="135" t="s">
        <v>159</v>
      </c>
      <c r="T132" s="49"/>
      <c r="U132" s="49"/>
      <c r="V132" s="49"/>
      <c r="W132" s="49"/>
      <c r="X132" s="49"/>
      <c r="Y132" s="49"/>
      <c r="Z132" s="49"/>
      <c r="AA132" s="49"/>
      <c r="AB132" s="49"/>
    </row>
    <row r="133" spans="1:28">
      <c r="A133" s="49"/>
      <c r="B133" s="94"/>
      <c r="C133" s="94"/>
      <c r="D133" s="110" t="s">
        <v>158</v>
      </c>
      <c r="E133" s="102"/>
      <c r="F133" s="110" t="s">
        <v>157</v>
      </c>
      <c r="T133" s="49"/>
      <c r="U133" s="49"/>
      <c r="V133" s="49"/>
      <c r="W133" s="49"/>
      <c r="X133" s="49"/>
      <c r="Y133" s="49"/>
      <c r="Z133" s="49"/>
      <c r="AA133" s="49"/>
      <c r="AB133" s="49"/>
    </row>
    <row r="134" spans="1:28" ht="14.4">
      <c r="A134" s="49"/>
      <c r="B134" s="94" t="s">
        <v>156</v>
      </c>
      <c r="C134" s="94"/>
      <c r="D134" s="234">
        <v>3613942000</v>
      </c>
      <c r="E134" s="102" t="s">
        <v>155</v>
      </c>
      <c r="F134" s="215">
        <f>D134/$D$129*$D$127</f>
        <v>620837020.5451436</v>
      </c>
      <c r="G134" s="102" t="str">
        <f>"K = ("&amp;E134&amp;"/F) x E"</f>
        <v>K = (G/F) x E</v>
      </c>
      <c r="T134" s="49"/>
      <c r="U134" s="49"/>
      <c r="V134" s="49"/>
      <c r="W134" s="49"/>
      <c r="X134" s="49"/>
      <c r="Y134" s="49"/>
      <c r="Z134" s="49"/>
      <c r="AA134" s="49"/>
      <c r="AB134" s="49"/>
    </row>
    <row r="135" spans="1:28" ht="14.4">
      <c r="A135" s="49"/>
      <c r="B135" s="94" t="s">
        <v>154</v>
      </c>
      <c r="C135" s="94"/>
      <c r="D135" s="234">
        <v>131502000</v>
      </c>
      <c r="E135" s="102" t="s">
        <v>153</v>
      </c>
      <c r="F135" s="215">
        <f>D135/$D$129*$D$127</f>
        <v>22590653.053017307</v>
      </c>
      <c r="G135" s="102" t="str">
        <f>"L = ("&amp;E135&amp;"/F) x E"</f>
        <v>L = (H/F) x E</v>
      </c>
      <c r="T135" s="49"/>
      <c r="U135" s="49"/>
      <c r="V135" s="49"/>
      <c r="W135" s="49"/>
      <c r="X135" s="49"/>
      <c r="Y135" s="49"/>
      <c r="Z135" s="49"/>
      <c r="AA135" s="49"/>
      <c r="AB135" s="49"/>
    </row>
    <row r="136" spans="1:28" ht="14.4">
      <c r="A136" s="49"/>
      <c r="B136" s="94" t="s">
        <v>152</v>
      </c>
      <c r="C136" s="94"/>
      <c r="D136" s="234">
        <v>1288710000</v>
      </c>
      <c r="E136" s="102" t="s">
        <v>151</v>
      </c>
      <c r="F136" s="215">
        <f>D136/$D$129*$D$127</f>
        <v>221386750.74108326</v>
      </c>
      <c r="G136" s="102" t="str">
        <f>"M = ("&amp;E136&amp;"/F) x E"</f>
        <v>M = (I/F) x E</v>
      </c>
      <c r="T136" s="49"/>
      <c r="U136" s="49"/>
      <c r="V136" s="49"/>
      <c r="W136" s="49"/>
      <c r="X136" s="49"/>
      <c r="Y136" s="49"/>
      <c r="Z136" s="49"/>
      <c r="AA136" s="49"/>
      <c r="AB136" s="49"/>
    </row>
    <row r="137" spans="1:28" ht="14.4">
      <c r="A137" s="49"/>
      <c r="B137" s="94" t="s">
        <v>150</v>
      </c>
      <c r="C137" s="94"/>
      <c r="D137" s="234">
        <v>56608000</v>
      </c>
      <c r="E137" s="102" t="s">
        <v>149</v>
      </c>
      <c r="F137" s="215">
        <f>D137/$D$129*$D$127</f>
        <v>9724655.8077078946</v>
      </c>
      <c r="G137" s="102" t="str">
        <f>"N = ("&amp;E137&amp;"/F) x E"</f>
        <v>N = (J/F) x E</v>
      </c>
      <c r="T137" s="49"/>
      <c r="U137" s="49"/>
      <c r="V137" s="49"/>
      <c r="W137" s="49"/>
      <c r="X137" s="49"/>
      <c r="Y137" s="49"/>
      <c r="Z137" s="49"/>
      <c r="AA137" s="49"/>
      <c r="AB137" s="49"/>
    </row>
    <row r="138" spans="1:28">
      <c r="A138" s="49"/>
      <c r="B138" s="94"/>
      <c r="C138" s="94"/>
      <c r="D138" s="131"/>
      <c r="E138" s="130"/>
      <c r="T138" s="49"/>
      <c r="U138" s="49"/>
      <c r="V138" s="49"/>
      <c r="W138" s="49"/>
      <c r="X138" s="49"/>
      <c r="Y138" s="49"/>
      <c r="Z138" s="49"/>
      <c r="AA138" s="49"/>
      <c r="AB138" s="49"/>
    </row>
    <row r="139" spans="1:28">
      <c r="A139" s="49"/>
      <c r="B139" s="94"/>
      <c r="C139" s="94"/>
      <c r="D139" s="131"/>
      <c r="E139" s="130"/>
      <c r="T139" s="49"/>
      <c r="U139" s="49"/>
      <c r="V139" s="49"/>
      <c r="W139" s="49"/>
      <c r="X139" s="49"/>
      <c r="Y139" s="49"/>
      <c r="Z139" s="49"/>
      <c r="AA139" s="49"/>
      <c r="AB139" s="49"/>
    </row>
    <row r="140" spans="1:28">
      <c r="A140" s="49"/>
      <c r="B140" s="129" t="s">
        <v>148</v>
      </c>
      <c r="C140" s="94"/>
      <c r="D140" s="94"/>
      <c r="E140" s="105"/>
      <c r="T140" s="49"/>
      <c r="U140" s="49"/>
      <c r="V140" s="49"/>
      <c r="W140" s="49"/>
      <c r="X140" s="49"/>
      <c r="Y140" s="49"/>
      <c r="Z140" s="49"/>
      <c r="AA140" s="49"/>
      <c r="AB140" s="49"/>
    </row>
    <row r="141" spans="1:28" ht="14.4">
      <c r="A141" s="49"/>
      <c r="B141" s="94" t="s">
        <v>147</v>
      </c>
      <c r="C141" s="94" t="s">
        <v>146</v>
      </c>
      <c r="D141" s="214">
        <f>F134/D120</f>
        <v>44026.385645385177</v>
      </c>
      <c r="E141" s="102" t="s">
        <v>145</v>
      </c>
      <c r="T141" s="49"/>
      <c r="U141" s="49"/>
      <c r="V141" s="49"/>
      <c r="W141" s="49"/>
      <c r="X141" s="49"/>
      <c r="Y141" s="49"/>
      <c r="Z141" s="49"/>
      <c r="AA141" s="49"/>
      <c r="AB141" s="49"/>
    </row>
    <row r="142" spans="1:28" ht="14.4">
      <c r="A142" s="49"/>
      <c r="B142" s="94" t="s">
        <v>144</v>
      </c>
      <c r="C142" s="94" t="s">
        <v>143</v>
      </c>
      <c r="D142" s="214">
        <f>F135/D121</f>
        <v>154730.50036313225</v>
      </c>
      <c r="E142" s="102" t="s">
        <v>142</v>
      </c>
      <c r="T142" s="49"/>
      <c r="U142" s="49"/>
      <c r="V142" s="49"/>
      <c r="W142" s="49"/>
      <c r="X142" s="49"/>
      <c r="Y142" s="49"/>
      <c r="Z142" s="49"/>
      <c r="AA142" s="49"/>
      <c r="AB142" s="49"/>
    </row>
    <row r="143" spans="1:28" ht="14.4">
      <c r="A143" s="49"/>
      <c r="B143" s="94" t="s">
        <v>141</v>
      </c>
      <c r="C143" s="94" t="s">
        <v>140</v>
      </c>
      <c r="D143" s="214">
        <f>F136/D122</f>
        <v>94731.172760412184</v>
      </c>
      <c r="E143" s="102" t="s">
        <v>139</v>
      </c>
      <c r="T143" s="49"/>
      <c r="U143" s="49"/>
      <c r="V143" s="49"/>
      <c r="W143" s="49"/>
      <c r="X143" s="49"/>
      <c r="Y143" s="49"/>
      <c r="Z143" s="49"/>
      <c r="AA143" s="49"/>
      <c r="AB143" s="49"/>
    </row>
    <row r="144" spans="1:28" ht="14.4">
      <c r="A144" s="49"/>
      <c r="B144" s="94" t="s">
        <v>138</v>
      </c>
      <c r="C144" s="94" t="s">
        <v>137</v>
      </c>
      <c r="D144" s="213">
        <f>F137/D123</f>
        <v>0.35889658654228912</v>
      </c>
      <c r="E144" s="102" t="s">
        <v>136</v>
      </c>
      <c r="T144" s="49"/>
      <c r="U144" s="49"/>
      <c r="V144" s="49"/>
      <c r="W144" s="49"/>
      <c r="X144" s="49"/>
      <c r="Y144" s="49"/>
      <c r="Z144" s="49"/>
      <c r="AA144" s="49"/>
      <c r="AB144" s="49"/>
    </row>
    <row r="145" spans="1:28" ht="14.4">
      <c r="A145" s="49"/>
      <c r="B145" s="94" t="s">
        <v>135</v>
      </c>
      <c r="C145" s="94" t="s">
        <v>97</v>
      </c>
      <c r="D145" s="212">
        <f>D45</f>
        <v>3.5314867944874498E-2</v>
      </c>
      <c r="E145" s="102" t="s">
        <v>134</v>
      </c>
      <c r="F145" s="94"/>
      <c r="T145" s="49"/>
      <c r="U145" s="49"/>
      <c r="V145" s="49"/>
      <c r="W145" s="49"/>
      <c r="X145" s="49"/>
      <c r="Y145" s="49"/>
      <c r="Z145" s="49"/>
      <c r="AA145" s="49"/>
      <c r="AB145" s="49"/>
    </row>
    <row r="146" spans="1:28">
      <c r="A146" s="49"/>
      <c r="T146" s="49"/>
      <c r="U146" s="49"/>
      <c r="V146" s="49"/>
      <c r="W146" s="49"/>
      <c r="X146" s="49"/>
      <c r="Y146" s="49"/>
      <c r="Z146" s="49"/>
      <c r="AA146" s="49"/>
      <c r="AB146" s="49"/>
    </row>
    <row r="147" spans="1:28">
      <c r="T147" s="49"/>
      <c r="U147" s="49"/>
      <c r="V147" s="49"/>
      <c r="W147" s="49"/>
      <c r="X147" s="49"/>
      <c r="Y147" s="49"/>
      <c r="Z147" s="49"/>
      <c r="AA147" s="49"/>
      <c r="AB147" s="49"/>
    </row>
    <row r="148" spans="1:28" s="87" customFormat="1"/>
    <row r="149" spans="1:28">
      <c r="T149" s="49"/>
      <c r="U149" s="49"/>
      <c r="V149" s="49"/>
      <c r="W149" s="49"/>
      <c r="X149" s="49"/>
      <c r="Y149" s="49"/>
      <c r="Z149" s="49"/>
      <c r="AA149" s="49"/>
      <c r="AB149" s="49"/>
    </row>
    <row r="150" spans="1:28">
      <c r="A150" s="43" t="s">
        <v>133</v>
      </c>
      <c r="B150" s="94"/>
      <c r="C150" s="94"/>
      <c r="D150" s="94"/>
      <c r="E150" s="94"/>
      <c r="F150" s="94"/>
      <c r="G150" s="94"/>
      <c r="H150" s="94"/>
      <c r="I150" s="94"/>
      <c r="J150" s="94"/>
      <c r="K150" s="94"/>
      <c r="L150" s="94"/>
      <c r="M150" s="94"/>
      <c r="N150" s="94"/>
      <c r="T150" s="49"/>
      <c r="U150" s="49"/>
      <c r="V150" s="49"/>
      <c r="W150" s="49"/>
      <c r="X150" s="49"/>
      <c r="Y150" s="49"/>
      <c r="Z150" s="49"/>
      <c r="AA150" s="49"/>
      <c r="AB150" s="49"/>
    </row>
    <row r="151" spans="1:28">
      <c r="A151" s="9" t="s">
        <v>132</v>
      </c>
      <c r="B151" s="94"/>
      <c r="C151" s="94"/>
      <c r="D151" s="94"/>
      <c r="E151" s="94"/>
      <c r="F151" s="94"/>
      <c r="G151" s="94"/>
      <c r="H151" s="94"/>
      <c r="I151" s="94"/>
      <c r="J151" s="94"/>
      <c r="K151" s="125" t="s">
        <v>131</v>
      </c>
      <c r="L151" s="94"/>
      <c r="M151" s="94"/>
      <c r="N151" s="94"/>
      <c r="T151" s="49"/>
      <c r="U151" s="49"/>
      <c r="V151" s="49"/>
      <c r="W151" s="49"/>
      <c r="X151" s="49"/>
      <c r="Y151" s="49"/>
      <c r="Z151" s="49"/>
      <c r="AA151" s="49"/>
      <c r="AB151" s="49"/>
    </row>
    <row r="152" spans="1:28">
      <c r="A152" s="94"/>
      <c r="B152" s="94"/>
      <c r="C152" s="94"/>
      <c r="D152" s="94"/>
      <c r="E152" s="94"/>
      <c r="F152" s="94"/>
      <c r="G152" s="94"/>
      <c r="H152" s="94"/>
      <c r="I152" s="94"/>
      <c r="J152" s="94"/>
      <c r="K152" s="94"/>
      <c r="L152" s="94"/>
      <c r="M152" s="94"/>
      <c r="N152" s="94"/>
    </row>
    <row r="153" spans="1:28">
      <c r="A153" s="124" t="s">
        <v>130</v>
      </c>
      <c r="B153" s="94"/>
      <c r="C153" s="94"/>
      <c r="D153" s="94"/>
      <c r="E153" s="94"/>
      <c r="F153" s="94"/>
      <c r="G153" s="94"/>
      <c r="H153" s="94"/>
      <c r="I153" s="94"/>
      <c r="J153" s="94"/>
      <c r="K153" s="94"/>
      <c r="L153" s="94"/>
      <c r="M153" s="94"/>
      <c r="N153" s="94"/>
    </row>
    <row r="154" spans="1:28">
      <c r="A154" s="124"/>
      <c r="B154" s="94"/>
      <c r="C154" s="94"/>
      <c r="D154" s="94"/>
      <c r="E154" s="94"/>
      <c r="F154" s="94"/>
      <c r="G154" s="94"/>
      <c r="H154" s="94"/>
      <c r="I154" s="94"/>
      <c r="J154" s="94"/>
      <c r="K154" s="94"/>
      <c r="L154" s="94"/>
      <c r="M154" s="94"/>
      <c r="N154" s="94"/>
    </row>
    <row r="155" spans="1:28" ht="15.6">
      <c r="A155" s="123" t="s">
        <v>129</v>
      </c>
      <c r="B155" s="94"/>
      <c r="C155" s="94"/>
      <c r="D155" s="94"/>
      <c r="E155" s="94"/>
      <c r="F155" s="94"/>
      <c r="G155" s="94"/>
      <c r="H155" s="94"/>
      <c r="I155" s="94"/>
      <c r="J155" s="94"/>
      <c r="K155" s="94"/>
      <c r="L155" s="94"/>
      <c r="M155" s="94"/>
      <c r="N155" s="94"/>
    </row>
    <row r="156" spans="1:28">
      <c r="A156" s="9"/>
      <c r="B156" s="94"/>
      <c r="C156" s="94"/>
      <c r="D156" s="94"/>
      <c r="E156" s="94"/>
      <c r="F156" s="94"/>
      <c r="G156" s="94"/>
      <c r="H156" s="94"/>
      <c r="I156" s="94"/>
      <c r="J156" s="94"/>
      <c r="K156" s="94"/>
      <c r="L156" s="94"/>
      <c r="M156" s="94"/>
      <c r="N156" s="94"/>
    </row>
    <row r="157" spans="1:28" ht="16.2" thickBot="1">
      <c r="A157" s="113" t="s">
        <v>128</v>
      </c>
      <c r="B157" s="94"/>
      <c r="C157" s="94"/>
      <c r="D157" s="94"/>
      <c r="E157" s="94"/>
      <c r="F157" s="94"/>
      <c r="G157" s="94"/>
      <c r="H157" s="94"/>
      <c r="I157" s="94"/>
      <c r="J157" s="94"/>
      <c r="K157" s="94"/>
      <c r="L157" s="94"/>
      <c r="M157" s="94"/>
      <c r="N157" s="94"/>
    </row>
    <row r="158" spans="1:28" ht="14.4" thickBot="1">
      <c r="A158" s="94"/>
      <c r="B158" s="94"/>
      <c r="C158" s="94"/>
      <c r="D158" s="94"/>
      <c r="E158" s="94"/>
      <c r="F158" s="94"/>
      <c r="G158" s="105" t="s">
        <v>121</v>
      </c>
      <c r="H158" s="94"/>
      <c r="I158" s="94"/>
      <c r="J158" s="112" t="s">
        <v>120</v>
      </c>
      <c r="K158" s="91"/>
      <c r="L158" s="111"/>
      <c r="M158" s="94"/>
      <c r="N158" s="94"/>
    </row>
    <row r="159" spans="1:28">
      <c r="A159" s="105"/>
      <c r="B159" s="105"/>
      <c r="C159" s="105" t="s">
        <v>117</v>
      </c>
      <c r="D159" s="105" t="s">
        <v>119</v>
      </c>
      <c r="E159" s="105" t="s">
        <v>118</v>
      </c>
      <c r="F159" s="105" t="s">
        <v>117</v>
      </c>
      <c r="G159" s="105" t="s">
        <v>116</v>
      </c>
      <c r="H159" s="105" t="s">
        <v>115</v>
      </c>
      <c r="I159" s="105"/>
      <c r="J159" s="105" t="s">
        <v>110</v>
      </c>
      <c r="K159" s="105" t="s">
        <v>114</v>
      </c>
      <c r="L159" s="94"/>
      <c r="M159" s="94"/>
      <c r="N159" s="94"/>
    </row>
    <row r="160" spans="1:28">
      <c r="A160" s="110" t="s">
        <v>113</v>
      </c>
      <c r="B160" s="110" t="s">
        <v>112</v>
      </c>
      <c r="C160" s="110" t="s">
        <v>111</v>
      </c>
      <c r="D160" s="110" t="s">
        <v>111</v>
      </c>
      <c r="E160" s="110" t="s">
        <v>111</v>
      </c>
      <c r="F160" s="110" t="s">
        <v>110</v>
      </c>
      <c r="G160" s="110" t="s">
        <v>110</v>
      </c>
      <c r="H160" s="110" t="s">
        <v>110</v>
      </c>
      <c r="I160" s="110" t="s">
        <v>110</v>
      </c>
      <c r="J160" s="110" t="s">
        <v>109</v>
      </c>
      <c r="K160" s="110" t="s">
        <v>108</v>
      </c>
      <c r="L160" s="110" t="s">
        <v>1</v>
      </c>
      <c r="M160" s="94"/>
      <c r="N160" s="94"/>
    </row>
    <row r="161" spans="1:15">
      <c r="A161" s="105" t="s">
        <v>107</v>
      </c>
      <c r="B161" s="105" t="s">
        <v>106</v>
      </c>
      <c r="C161" s="105"/>
      <c r="D161" s="105"/>
      <c r="E161" s="105"/>
      <c r="F161" s="105" t="s">
        <v>105</v>
      </c>
      <c r="G161" s="105" t="s">
        <v>105</v>
      </c>
      <c r="H161" s="105" t="s">
        <v>105</v>
      </c>
      <c r="I161" s="105" t="s">
        <v>105</v>
      </c>
      <c r="J161" s="105" t="s">
        <v>104</v>
      </c>
      <c r="K161" s="105" t="s">
        <v>104</v>
      </c>
      <c r="L161" s="105" t="s">
        <v>104</v>
      </c>
      <c r="M161" s="94"/>
      <c r="N161" s="94"/>
    </row>
    <row r="162" spans="1:15">
      <c r="A162" s="94"/>
      <c r="B162" s="94"/>
      <c r="C162" s="94"/>
      <c r="D162" s="94"/>
      <c r="E162" s="94"/>
      <c r="F162" s="94"/>
      <c r="G162" s="94"/>
      <c r="H162" s="94"/>
      <c r="I162" s="94"/>
      <c r="J162" s="94"/>
      <c r="K162" s="94"/>
      <c r="L162" s="94"/>
      <c r="M162" s="94"/>
      <c r="N162" s="94"/>
    </row>
    <row r="163" spans="1:15">
      <c r="A163" s="94">
        <f>B57</f>
        <v>50</v>
      </c>
      <c r="B163" s="94">
        <f>C57</f>
        <v>50</v>
      </c>
      <c r="C163" s="94">
        <v>1</v>
      </c>
      <c r="D163" s="94">
        <f>'SNB-Compliance (2)'!I57</f>
        <v>2</v>
      </c>
      <c r="E163" s="109">
        <f>'SNB-Compliance (2)'!J57</f>
        <v>0</v>
      </c>
      <c r="F163" s="108">
        <f t="shared" ref="F163:F180" si="2">(C163*$D$142)+(D163*$D$143)</f>
        <v>344192.84588395664</v>
      </c>
      <c r="G163" s="108">
        <f t="shared" ref="G163:G180" si="3">$D$144*A163*1000</f>
        <v>17944.829327114454</v>
      </c>
      <c r="H163" s="108">
        <f t="shared" ref="H163:H180" si="4">E163*$D$141</f>
        <v>0</v>
      </c>
      <c r="I163" s="107">
        <f t="shared" ref="I163:I180" si="5">F163+G163+H163</f>
        <v>362137.67521107109</v>
      </c>
      <c r="J163" s="106">
        <f t="shared" ref="J163:J180" si="6">I163/A163/365/1000</f>
        <v>1.9843160285538144E-2</v>
      </c>
      <c r="K163" s="106">
        <f t="shared" ref="K163:K180" si="7">$D$45</f>
        <v>3.5314867944874498E-2</v>
      </c>
      <c r="L163" s="106">
        <f t="shared" ref="L163:L180" si="8">K163+J163</f>
        <v>5.5158028230412645E-2</v>
      </c>
      <c r="M163" s="94"/>
      <c r="N163" s="94"/>
    </row>
    <row r="164" spans="1:15">
      <c r="A164" s="94">
        <f>A163</f>
        <v>50</v>
      </c>
      <c r="B164" s="94">
        <f t="shared" ref="B164:B180" si="9">C58</f>
        <v>100</v>
      </c>
      <c r="C164" s="94">
        <v>1</v>
      </c>
      <c r="D164" s="94">
        <f>'SNB-Compliance (2)'!I58</f>
        <v>7</v>
      </c>
      <c r="E164" s="109">
        <f>'SNB-Compliance (2)'!J58</f>
        <v>0.76800000000000002</v>
      </c>
      <c r="F164" s="108">
        <f t="shared" si="2"/>
        <v>817848.70968601748</v>
      </c>
      <c r="G164" s="108">
        <f t="shared" si="3"/>
        <v>17944.829327114454</v>
      </c>
      <c r="H164" s="108">
        <f t="shared" si="4"/>
        <v>33812.264175655815</v>
      </c>
      <c r="I164" s="107">
        <f t="shared" si="5"/>
        <v>869605.80318878777</v>
      </c>
      <c r="J164" s="106">
        <f t="shared" si="6"/>
        <v>4.7649633051440432E-2</v>
      </c>
      <c r="K164" s="106">
        <f t="shared" si="7"/>
        <v>3.5314867944874498E-2</v>
      </c>
      <c r="L164" s="106">
        <f t="shared" si="8"/>
        <v>8.296450099631493E-2</v>
      </c>
      <c r="M164" s="94"/>
      <c r="N164" s="122"/>
      <c r="O164" s="121"/>
    </row>
    <row r="165" spans="1:15">
      <c r="A165" s="94">
        <f>A164</f>
        <v>50</v>
      </c>
      <c r="B165" s="94">
        <f t="shared" si="9"/>
        <v>150</v>
      </c>
      <c r="C165" s="94">
        <v>1</v>
      </c>
      <c r="D165" s="94">
        <f>'SNB-Compliance (2)'!I59</f>
        <v>7</v>
      </c>
      <c r="E165" s="109">
        <f>'SNB-Compliance (2)'!J59</f>
        <v>2.4320000000000004</v>
      </c>
      <c r="F165" s="108">
        <f t="shared" si="2"/>
        <v>817848.70968601748</v>
      </c>
      <c r="G165" s="108">
        <f t="shared" si="3"/>
        <v>17944.829327114454</v>
      </c>
      <c r="H165" s="108">
        <f t="shared" si="4"/>
        <v>107072.16988957676</v>
      </c>
      <c r="I165" s="107">
        <f t="shared" si="5"/>
        <v>942865.70890270872</v>
      </c>
      <c r="J165" s="106">
        <f t="shared" si="6"/>
        <v>5.1663874460422393E-2</v>
      </c>
      <c r="K165" s="106">
        <f t="shared" si="7"/>
        <v>3.5314867944874498E-2</v>
      </c>
      <c r="L165" s="106">
        <f t="shared" si="8"/>
        <v>8.6978742405296891E-2</v>
      </c>
      <c r="M165" s="94"/>
      <c r="N165" s="122"/>
      <c r="O165" s="121"/>
    </row>
    <row r="166" spans="1:15">
      <c r="A166" s="94">
        <f>A165</f>
        <v>50</v>
      </c>
      <c r="B166" s="94">
        <f t="shared" si="9"/>
        <v>200</v>
      </c>
      <c r="C166" s="94">
        <v>1</v>
      </c>
      <c r="D166" s="94">
        <f>'SNB-Compliance (2)'!I60</f>
        <v>7</v>
      </c>
      <c r="E166" s="109">
        <f>'SNB-Compliance (2)'!J60</f>
        <v>4.4799999999999995</v>
      </c>
      <c r="F166" s="108">
        <f t="shared" si="2"/>
        <v>817848.70968601748</v>
      </c>
      <c r="G166" s="108">
        <f t="shared" si="3"/>
        <v>17944.829327114454</v>
      </c>
      <c r="H166" s="108">
        <f t="shared" si="4"/>
        <v>197238.20769132557</v>
      </c>
      <c r="I166" s="107">
        <f t="shared" si="5"/>
        <v>1033031.7467044576</v>
      </c>
      <c r="J166" s="106">
        <f t="shared" si="6"/>
        <v>5.6604479271477125E-2</v>
      </c>
      <c r="K166" s="106">
        <f t="shared" si="7"/>
        <v>3.5314867944874498E-2</v>
      </c>
      <c r="L166" s="106">
        <f t="shared" si="8"/>
        <v>9.1919347216351616E-2</v>
      </c>
      <c r="M166" s="94"/>
      <c r="N166" s="122"/>
      <c r="O166" s="121"/>
    </row>
    <row r="167" spans="1:15">
      <c r="A167" s="94">
        <f>A166</f>
        <v>50</v>
      </c>
      <c r="B167" s="94">
        <f t="shared" si="9"/>
        <v>250</v>
      </c>
      <c r="C167" s="94">
        <v>1</v>
      </c>
      <c r="D167" s="94">
        <f>'SNB-Compliance (2)'!I61</f>
        <v>7</v>
      </c>
      <c r="E167" s="109">
        <f>'SNB-Compliance (2)'!J61</f>
        <v>7.8079999999999998</v>
      </c>
      <c r="F167" s="108">
        <f t="shared" si="2"/>
        <v>817848.70968601748</v>
      </c>
      <c r="G167" s="108">
        <f t="shared" si="3"/>
        <v>17944.829327114454</v>
      </c>
      <c r="H167" s="108">
        <f t="shared" si="4"/>
        <v>343758.01911916747</v>
      </c>
      <c r="I167" s="107">
        <f t="shared" si="5"/>
        <v>1179551.5581322995</v>
      </c>
      <c r="J167" s="106">
        <f t="shared" si="6"/>
        <v>6.4632962089441068E-2</v>
      </c>
      <c r="K167" s="106">
        <f t="shared" si="7"/>
        <v>3.5314867944874498E-2</v>
      </c>
      <c r="L167" s="106">
        <f t="shared" si="8"/>
        <v>9.9947830034315566E-2</v>
      </c>
      <c r="M167" s="94"/>
      <c r="N167" s="122"/>
      <c r="O167" s="121"/>
    </row>
    <row r="168" spans="1:15">
      <c r="A168" s="94">
        <f>A167</f>
        <v>50</v>
      </c>
      <c r="B168" s="94">
        <f t="shared" si="9"/>
        <v>300</v>
      </c>
      <c r="C168" s="94">
        <v>1</v>
      </c>
      <c r="D168" s="94">
        <f>'SNB-Compliance (2)'!I62</f>
        <v>7</v>
      </c>
      <c r="E168" s="109">
        <f>'SNB-Compliance (2)'!J62</f>
        <v>12.938000000000001</v>
      </c>
      <c r="F168" s="108">
        <f t="shared" si="2"/>
        <v>817848.70968601748</v>
      </c>
      <c r="G168" s="108">
        <f t="shared" si="3"/>
        <v>17944.829327114454</v>
      </c>
      <c r="H168" s="108">
        <f t="shared" si="4"/>
        <v>569613.37747999339</v>
      </c>
      <c r="I168" s="107">
        <f t="shared" si="5"/>
        <v>1405406.9164931253</v>
      </c>
      <c r="J168" s="106">
        <f t="shared" si="6"/>
        <v>7.7008598164006861E-2</v>
      </c>
      <c r="K168" s="106">
        <f t="shared" si="7"/>
        <v>3.5314867944874498E-2</v>
      </c>
      <c r="L168" s="106">
        <f t="shared" si="8"/>
        <v>0.11232346610888136</v>
      </c>
      <c r="M168" s="94"/>
      <c r="N168" s="122"/>
      <c r="O168" s="121"/>
    </row>
    <row r="169" spans="1:15">
      <c r="A169" s="94">
        <f>B63</f>
        <v>100</v>
      </c>
      <c r="B169" s="94">
        <f t="shared" si="9"/>
        <v>100</v>
      </c>
      <c r="C169" s="94">
        <v>1</v>
      </c>
      <c r="D169" s="94">
        <f>'SNB-Compliance (2)'!I63</f>
        <v>7</v>
      </c>
      <c r="E169" s="109">
        <f>'SNB-Compliance (2)'!J63</f>
        <v>0.76800000000000002</v>
      </c>
      <c r="F169" s="108">
        <f t="shared" si="2"/>
        <v>817848.70968601748</v>
      </c>
      <c r="G169" s="108">
        <f t="shared" si="3"/>
        <v>35889.658654228908</v>
      </c>
      <c r="H169" s="108">
        <f t="shared" si="4"/>
        <v>33812.264175655815</v>
      </c>
      <c r="I169" s="107">
        <f t="shared" si="5"/>
        <v>887550.63251590217</v>
      </c>
      <c r="J169" s="106">
        <f t="shared" si="6"/>
        <v>2.4316455685367184E-2</v>
      </c>
      <c r="K169" s="106">
        <f t="shared" si="7"/>
        <v>3.5314867944874498E-2</v>
      </c>
      <c r="L169" s="106">
        <f t="shared" si="8"/>
        <v>5.9631323630241678E-2</v>
      </c>
      <c r="M169" s="94"/>
      <c r="N169" s="122"/>
      <c r="O169" s="121"/>
    </row>
    <row r="170" spans="1:15">
      <c r="A170" s="94">
        <f>A169</f>
        <v>100</v>
      </c>
      <c r="B170" s="94">
        <f t="shared" si="9"/>
        <v>150</v>
      </c>
      <c r="C170" s="94">
        <v>1</v>
      </c>
      <c r="D170" s="94">
        <f>'SNB-Compliance (2)'!I64</f>
        <v>7</v>
      </c>
      <c r="E170" s="109">
        <f>'SNB-Compliance (2)'!J64</f>
        <v>2.5600000000000005</v>
      </c>
      <c r="F170" s="108">
        <f t="shared" si="2"/>
        <v>817848.70968601748</v>
      </c>
      <c r="G170" s="108">
        <f t="shared" si="3"/>
        <v>35889.658654228908</v>
      </c>
      <c r="H170" s="108">
        <f t="shared" si="4"/>
        <v>112707.54725218608</v>
      </c>
      <c r="I170" s="107">
        <f t="shared" si="5"/>
        <v>966445.91559243249</v>
      </c>
      <c r="J170" s="106">
        <f t="shared" si="6"/>
        <v>2.6477970290203632E-2</v>
      </c>
      <c r="K170" s="106">
        <f t="shared" si="7"/>
        <v>3.5314867944874498E-2</v>
      </c>
      <c r="L170" s="106">
        <f t="shared" si="8"/>
        <v>6.1792838235078126E-2</v>
      </c>
      <c r="M170" s="94"/>
      <c r="N170" s="122"/>
      <c r="O170" s="121"/>
    </row>
    <row r="171" spans="1:15">
      <c r="A171" s="94">
        <f>A170</f>
        <v>100</v>
      </c>
      <c r="B171" s="94">
        <f t="shared" si="9"/>
        <v>200</v>
      </c>
      <c r="C171" s="94">
        <v>1</v>
      </c>
      <c r="D171" s="94">
        <f>'SNB-Compliance (2)'!I65</f>
        <v>7</v>
      </c>
      <c r="E171" s="109">
        <f>'SNB-Compliance (2)'!J65</f>
        <v>5.120000000000001</v>
      </c>
      <c r="F171" s="108">
        <f t="shared" si="2"/>
        <v>817848.70968601748</v>
      </c>
      <c r="G171" s="108">
        <f t="shared" si="3"/>
        <v>35889.658654228908</v>
      </c>
      <c r="H171" s="108">
        <f t="shared" si="4"/>
        <v>225415.09450437216</v>
      </c>
      <c r="I171" s="107">
        <f t="shared" si="5"/>
        <v>1079153.4628446186</v>
      </c>
      <c r="J171" s="106">
        <f t="shared" si="6"/>
        <v>2.956584829711284E-2</v>
      </c>
      <c r="K171" s="106">
        <f t="shared" si="7"/>
        <v>3.5314867944874498E-2</v>
      </c>
      <c r="L171" s="106">
        <f t="shared" si="8"/>
        <v>6.4880716241987338E-2</v>
      </c>
      <c r="M171" s="94"/>
      <c r="N171" s="122"/>
      <c r="O171" s="121"/>
    </row>
    <row r="172" spans="1:15">
      <c r="A172" s="94">
        <f>A171</f>
        <v>100</v>
      </c>
      <c r="B172" s="94">
        <f t="shared" si="9"/>
        <v>250</v>
      </c>
      <c r="C172" s="94">
        <v>1</v>
      </c>
      <c r="D172" s="94">
        <f>'SNB-Compliance (2)'!I66</f>
        <v>7</v>
      </c>
      <c r="E172" s="109">
        <f>'SNB-Compliance (2)'!J66</f>
        <v>9.9840000000000018</v>
      </c>
      <c r="F172" s="108">
        <f t="shared" si="2"/>
        <v>817848.70968601748</v>
      </c>
      <c r="G172" s="108">
        <f t="shared" si="3"/>
        <v>35889.658654228908</v>
      </c>
      <c r="H172" s="108">
        <f t="shared" si="4"/>
        <v>439559.43428352568</v>
      </c>
      <c r="I172" s="107">
        <f t="shared" si="5"/>
        <v>1293297.8026237721</v>
      </c>
      <c r="J172" s="106">
        <f t="shared" si="6"/>
        <v>3.5432816510240328E-2</v>
      </c>
      <c r="K172" s="106">
        <f t="shared" si="7"/>
        <v>3.5314867944874498E-2</v>
      </c>
      <c r="L172" s="106">
        <f t="shared" si="8"/>
        <v>7.0747684455114826E-2</v>
      </c>
      <c r="M172" s="94"/>
      <c r="N172" s="122"/>
      <c r="O172" s="121"/>
    </row>
    <row r="173" spans="1:15">
      <c r="A173" s="94">
        <f>A172</f>
        <v>100</v>
      </c>
      <c r="B173" s="94">
        <f t="shared" si="9"/>
        <v>300</v>
      </c>
      <c r="C173" s="94">
        <v>1</v>
      </c>
      <c r="D173" s="94">
        <f>'SNB-Compliance (2)'!I67</f>
        <v>7</v>
      </c>
      <c r="E173" s="109">
        <f>'SNB-Compliance (2)'!J67</f>
        <v>13.49</v>
      </c>
      <c r="F173" s="108">
        <f t="shared" si="2"/>
        <v>817848.70968601748</v>
      </c>
      <c r="G173" s="108">
        <f t="shared" si="3"/>
        <v>35889.658654228908</v>
      </c>
      <c r="H173" s="108">
        <f t="shared" si="4"/>
        <v>593915.94235624606</v>
      </c>
      <c r="I173" s="107">
        <f t="shared" si="5"/>
        <v>1447654.3106964924</v>
      </c>
      <c r="J173" s="106">
        <f t="shared" si="6"/>
        <v>3.9661761936890201E-2</v>
      </c>
      <c r="K173" s="106">
        <f t="shared" si="7"/>
        <v>3.5314867944874498E-2</v>
      </c>
      <c r="L173" s="106">
        <f t="shared" si="8"/>
        <v>7.4976629881764706E-2</v>
      </c>
      <c r="M173" s="94"/>
      <c r="N173" s="122"/>
      <c r="O173" s="121"/>
    </row>
    <row r="174" spans="1:15">
      <c r="A174" s="94">
        <f>B68</f>
        <v>150</v>
      </c>
      <c r="B174" s="94">
        <f t="shared" si="9"/>
        <v>150</v>
      </c>
      <c r="C174" s="94">
        <v>1</v>
      </c>
      <c r="D174" s="94">
        <f>'SNB-Compliance (2)'!I68</f>
        <v>7</v>
      </c>
      <c r="E174" s="109">
        <f>'SNB-Compliance (2)'!J68</f>
        <v>2.5600000000000005</v>
      </c>
      <c r="F174" s="108">
        <f t="shared" si="2"/>
        <v>817848.70968601748</v>
      </c>
      <c r="G174" s="108">
        <f t="shared" si="3"/>
        <v>53834.487981343365</v>
      </c>
      <c r="H174" s="108">
        <f t="shared" si="4"/>
        <v>112707.54725218608</v>
      </c>
      <c r="I174" s="107">
        <f t="shared" si="5"/>
        <v>984390.744919547</v>
      </c>
      <c r="J174" s="106">
        <f t="shared" si="6"/>
        <v>1.7979739633233734E-2</v>
      </c>
      <c r="K174" s="106">
        <f t="shared" si="7"/>
        <v>3.5314867944874498E-2</v>
      </c>
      <c r="L174" s="106">
        <f t="shared" si="8"/>
        <v>5.3294607578108236E-2</v>
      </c>
      <c r="M174" s="94"/>
      <c r="N174" s="122"/>
      <c r="O174" s="121"/>
    </row>
    <row r="175" spans="1:15">
      <c r="A175" s="94">
        <f>A174</f>
        <v>150</v>
      </c>
      <c r="B175" s="94">
        <f t="shared" si="9"/>
        <v>200</v>
      </c>
      <c r="C175" s="94">
        <v>1</v>
      </c>
      <c r="D175" s="94">
        <f>'SNB-Compliance (2)'!I69</f>
        <v>7</v>
      </c>
      <c r="E175" s="109">
        <f>'SNB-Compliance (2)'!J69</f>
        <v>5.120000000000001</v>
      </c>
      <c r="F175" s="108">
        <f t="shared" si="2"/>
        <v>817848.70968601748</v>
      </c>
      <c r="G175" s="108">
        <f t="shared" si="3"/>
        <v>53834.487981343365</v>
      </c>
      <c r="H175" s="108">
        <f t="shared" si="4"/>
        <v>225415.09450437216</v>
      </c>
      <c r="I175" s="107">
        <f t="shared" si="5"/>
        <v>1097098.292171733</v>
      </c>
      <c r="J175" s="106">
        <f t="shared" si="6"/>
        <v>2.0038324971173208E-2</v>
      </c>
      <c r="K175" s="106">
        <f t="shared" si="7"/>
        <v>3.5314867944874498E-2</v>
      </c>
      <c r="L175" s="106">
        <f t="shared" si="8"/>
        <v>5.5353192916047705E-2</v>
      </c>
      <c r="M175" s="94"/>
      <c r="N175" s="122"/>
      <c r="O175" s="121"/>
    </row>
    <row r="176" spans="1:15">
      <c r="A176" s="94">
        <f>A175</f>
        <v>150</v>
      </c>
      <c r="B176" s="94">
        <f t="shared" si="9"/>
        <v>250</v>
      </c>
      <c r="C176" s="94">
        <v>1</v>
      </c>
      <c r="D176" s="94">
        <f>'SNB-Compliance (2)'!I70</f>
        <v>7</v>
      </c>
      <c r="E176" s="109">
        <f>'SNB-Compliance (2)'!J70</f>
        <v>10.496</v>
      </c>
      <c r="F176" s="108">
        <f t="shared" si="2"/>
        <v>817848.70968601748</v>
      </c>
      <c r="G176" s="108">
        <f t="shared" si="3"/>
        <v>53834.487981343365</v>
      </c>
      <c r="H176" s="108">
        <f t="shared" si="4"/>
        <v>462100.94373396283</v>
      </c>
      <c r="I176" s="107">
        <f t="shared" si="5"/>
        <v>1333784.1414013237</v>
      </c>
      <c r="J176" s="106">
        <f t="shared" si="6"/>
        <v>2.4361354180846097E-2</v>
      </c>
      <c r="K176" s="106">
        <f t="shared" si="7"/>
        <v>3.5314867944874498E-2</v>
      </c>
      <c r="L176" s="106">
        <f t="shared" si="8"/>
        <v>5.9676222125720595E-2</v>
      </c>
      <c r="M176" s="94"/>
      <c r="N176" s="122"/>
      <c r="O176" s="121"/>
    </row>
    <row r="177" spans="1:15">
      <c r="A177" s="94">
        <f>A176</f>
        <v>150</v>
      </c>
      <c r="B177" s="94">
        <f t="shared" si="9"/>
        <v>300</v>
      </c>
      <c r="C177" s="94">
        <v>1</v>
      </c>
      <c r="D177" s="94">
        <f>'SNB-Compliance (2)'!I71</f>
        <v>7</v>
      </c>
      <c r="E177" s="109">
        <f>'SNB-Compliance (2)'!J71</f>
        <v>13.628</v>
      </c>
      <c r="F177" s="108">
        <f t="shared" si="2"/>
        <v>817848.70968601748</v>
      </c>
      <c r="G177" s="108">
        <f t="shared" si="3"/>
        <v>53834.487981343365</v>
      </c>
      <c r="H177" s="108">
        <f t="shared" si="4"/>
        <v>599991.58357530914</v>
      </c>
      <c r="I177" s="107">
        <f t="shared" si="5"/>
        <v>1471674.78124267</v>
      </c>
      <c r="J177" s="106">
        <f t="shared" si="6"/>
        <v>2.6879904680231416E-2</v>
      </c>
      <c r="K177" s="106">
        <f t="shared" si="7"/>
        <v>3.5314867944874498E-2</v>
      </c>
      <c r="L177" s="106">
        <f t="shared" si="8"/>
        <v>6.2194772625105914E-2</v>
      </c>
      <c r="M177" s="94"/>
      <c r="N177" s="122"/>
      <c r="O177" s="121"/>
    </row>
    <row r="178" spans="1:15">
      <c r="A178" s="94">
        <f>B72</f>
        <v>200</v>
      </c>
      <c r="B178" s="94">
        <f t="shared" si="9"/>
        <v>200</v>
      </c>
      <c r="C178" s="94">
        <v>1</v>
      </c>
      <c r="D178" s="94">
        <f>'SNB-Compliance (2)'!I72</f>
        <v>7</v>
      </c>
      <c r="E178" s="109">
        <f>'SNB-Compliance (2)'!J72</f>
        <v>5.120000000000001</v>
      </c>
      <c r="F178" s="108">
        <f t="shared" si="2"/>
        <v>817848.70968601748</v>
      </c>
      <c r="G178" s="108">
        <f t="shared" si="3"/>
        <v>71779.317308457816</v>
      </c>
      <c r="H178" s="108">
        <f t="shared" si="4"/>
        <v>225415.09450437216</v>
      </c>
      <c r="I178" s="107">
        <f t="shared" si="5"/>
        <v>1115043.1214988474</v>
      </c>
      <c r="J178" s="106">
        <f t="shared" si="6"/>
        <v>1.5274563308203388E-2</v>
      </c>
      <c r="K178" s="106">
        <f t="shared" si="7"/>
        <v>3.5314867944874498E-2</v>
      </c>
      <c r="L178" s="106">
        <f t="shared" si="8"/>
        <v>5.0589431253077882E-2</v>
      </c>
      <c r="M178" s="94"/>
      <c r="N178" s="122"/>
      <c r="O178" s="121"/>
    </row>
    <row r="179" spans="1:15">
      <c r="A179" s="94">
        <f>A178</f>
        <v>200</v>
      </c>
      <c r="B179" s="94">
        <f t="shared" si="9"/>
        <v>250</v>
      </c>
      <c r="C179" s="94">
        <v>1</v>
      </c>
      <c r="D179" s="94">
        <f>'SNB-Compliance (2)'!I73</f>
        <v>7</v>
      </c>
      <c r="E179" s="109">
        <f>'SNB-Compliance (2)'!J73</f>
        <v>10.496</v>
      </c>
      <c r="F179" s="108">
        <f t="shared" si="2"/>
        <v>817848.70968601748</v>
      </c>
      <c r="G179" s="108">
        <f t="shared" si="3"/>
        <v>71779.317308457816</v>
      </c>
      <c r="H179" s="108">
        <f t="shared" si="4"/>
        <v>462100.94373396283</v>
      </c>
      <c r="I179" s="107">
        <f t="shared" si="5"/>
        <v>1351728.9707284381</v>
      </c>
      <c r="J179" s="106">
        <f t="shared" si="6"/>
        <v>1.8516835215458056E-2</v>
      </c>
      <c r="K179" s="106">
        <f t="shared" si="7"/>
        <v>3.5314867944874498E-2</v>
      </c>
      <c r="L179" s="106">
        <f t="shared" si="8"/>
        <v>5.3831703160332554E-2</v>
      </c>
      <c r="M179" s="94"/>
      <c r="N179" s="122"/>
      <c r="O179" s="121"/>
    </row>
    <row r="180" spans="1:15">
      <c r="A180" s="94">
        <f>A179</f>
        <v>200</v>
      </c>
      <c r="B180" s="94">
        <f t="shared" si="9"/>
        <v>300</v>
      </c>
      <c r="C180" s="94">
        <v>1</v>
      </c>
      <c r="D180" s="94">
        <f>'SNB-Compliance (2)'!I74</f>
        <v>7</v>
      </c>
      <c r="E180" s="109">
        <f>'SNB-Compliance (2)'!J74</f>
        <v>13.766000000000002</v>
      </c>
      <c r="F180" s="108">
        <f t="shared" si="2"/>
        <v>817848.70968601748</v>
      </c>
      <c r="G180" s="108">
        <f t="shared" si="3"/>
        <v>71779.317308457816</v>
      </c>
      <c r="H180" s="108">
        <f t="shared" si="4"/>
        <v>606067.22479437245</v>
      </c>
      <c r="I180" s="107">
        <f t="shared" si="5"/>
        <v>1495695.2517888476</v>
      </c>
      <c r="J180" s="106">
        <f t="shared" si="6"/>
        <v>2.048897605190202E-2</v>
      </c>
      <c r="K180" s="106">
        <f t="shared" si="7"/>
        <v>3.5314867944874498E-2</v>
      </c>
      <c r="L180" s="106">
        <f t="shared" si="8"/>
        <v>5.5803843996776514E-2</v>
      </c>
      <c r="M180" s="94"/>
      <c r="N180" s="122"/>
      <c r="O180" s="121"/>
    </row>
    <row r="181" spans="1:15">
      <c r="A181" s="120"/>
      <c r="B181" s="120"/>
      <c r="C181" s="120"/>
      <c r="D181" s="120"/>
      <c r="E181" s="119"/>
      <c r="F181" s="118"/>
      <c r="G181" s="117"/>
      <c r="H181" s="117"/>
      <c r="I181" s="116"/>
      <c r="J181" s="115"/>
      <c r="K181" s="115"/>
      <c r="L181" s="115"/>
      <c r="M181" s="94"/>
      <c r="N181" s="94"/>
    </row>
    <row r="182" spans="1:15">
      <c r="A182" s="120"/>
      <c r="B182" s="120"/>
      <c r="C182" s="120"/>
      <c r="D182" s="120"/>
      <c r="E182" s="119"/>
      <c r="F182" s="118"/>
      <c r="G182" s="117"/>
      <c r="H182" s="117"/>
      <c r="I182" s="116"/>
      <c r="J182" s="115"/>
      <c r="K182" s="115"/>
      <c r="L182" s="115"/>
      <c r="M182" s="94"/>
      <c r="N182" s="94"/>
    </row>
    <row r="183" spans="1:15">
      <c r="A183" s="120"/>
      <c r="B183" s="120"/>
      <c r="C183" s="120"/>
      <c r="D183" s="120"/>
      <c r="E183" s="119"/>
      <c r="F183" s="118"/>
      <c r="G183" s="117"/>
      <c r="H183" s="117"/>
      <c r="I183" s="116"/>
      <c r="J183" s="115"/>
      <c r="K183" s="115"/>
      <c r="L183" s="115"/>
      <c r="M183" s="94"/>
      <c r="N183" s="94"/>
    </row>
    <row r="184" spans="1:15">
      <c r="A184" s="94"/>
      <c r="B184" s="94"/>
      <c r="C184" s="94"/>
      <c r="D184" s="94"/>
      <c r="E184" s="94"/>
      <c r="F184" s="94"/>
      <c r="G184" s="94"/>
      <c r="H184" s="94"/>
      <c r="I184" s="94"/>
      <c r="J184" s="94"/>
      <c r="K184" s="94"/>
      <c r="L184" s="94"/>
      <c r="M184" s="94"/>
      <c r="N184" s="94"/>
    </row>
    <row r="185" spans="1:15" ht="14.4">
      <c r="A185" s="94"/>
      <c r="B185" s="94"/>
      <c r="C185" s="94"/>
      <c r="D185" s="94"/>
      <c r="E185" s="94"/>
      <c r="F185" s="94"/>
      <c r="G185" s="94"/>
      <c r="H185" s="94"/>
      <c r="I185" s="94"/>
      <c r="J185" s="104" t="s">
        <v>127</v>
      </c>
      <c r="K185" s="94"/>
      <c r="L185" s="210">
        <f>AVERAGE(L163:L180)</f>
        <v>6.9559160060607181E-2</v>
      </c>
      <c r="M185" s="102" t="s">
        <v>126</v>
      </c>
      <c r="N185" s="114"/>
    </row>
    <row r="186" spans="1:15">
      <c r="A186" s="94"/>
      <c r="B186" s="94"/>
      <c r="C186" s="94"/>
      <c r="D186" s="94"/>
      <c r="E186" s="94"/>
      <c r="F186" s="94"/>
      <c r="G186" s="94"/>
      <c r="H186" s="94"/>
      <c r="I186" s="94"/>
      <c r="J186" s="94"/>
      <c r="K186" s="94"/>
      <c r="L186" s="94"/>
      <c r="M186" s="94"/>
      <c r="N186" s="94"/>
    </row>
    <row r="187" spans="1:15" ht="16.2" thickBot="1">
      <c r="A187" s="113" t="s">
        <v>125</v>
      </c>
      <c r="B187" s="94"/>
      <c r="C187" s="94"/>
      <c r="D187" s="94"/>
      <c r="E187" s="94"/>
      <c r="F187" s="94"/>
      <c r="G187" s="94"/>
      <c r="H187" s="94"/>
      <c r="I187" s="94"/>
      <c r="J187" s="94"/>
      <c r="K187" s="94"/>
      <c r="L187" s="94"/>
      <c r="M187" s="94"/>
      <c r="N187" s="94"/>
    </row>
    <row r="188" spans="1:15" ht="14.4" thickBot="1">
      <c r="A188" s="94"/>
      <c r="B188" s="94"/>
      <c r="C188" s="94"/>
      <c r="D188" s="94"/>
      <c r="E188" s="94"/>
      <c r="F188" s="94"/>
      <c r="G188" s="105" t="s">
        <v>121</v>
      </c>
      <c r="H188" s="94"/>
      <c r="I188" s="94"/>
      <c r="J188" s="112" t="s">
        <v>120</v>
      </c>
      <c r="K188" s="91"/>
      <c r="L188" s="111"/>
      <c r="M188" s="94"/>
      <c r="N188" s="94"/>
    </row>
    <row r="189" spans="1:15">
      <c r="A189" s="105"/>
      <c r="B189" s="105"/>
      <c r="C189" s="105" t="s">
        <v>117</v>
      </c>
      <c r="D189" s="105" t="s">
        <v>119</v>
      </c>
      <c r="E189" s="105" t="s">
        <v>118</v>
      </c>
      <c r="F189" s="105" t="s">
        <v>117</v>
      </c>
      <c r="G189" s="105" t="s">
        <v>116</v>
      </c>
      <c r="H189" s="105" t="s">
        <v>115</v>
      </c>
      <c r="I189" s="105"/>
      <c r="J189" s="105" t="s">
        <v>110</v>
      </c>
      <c r="K189" s="105" t="s">
        <v>114</v>
      </c>
      <c r="L189" s="94"/>
      <c r="M189" s="94"/>
      <c r="N189" s="94"/>
    </row>
    <row r="190" spans="1:15">
      <c r="A190" s="110" t="s">
        <v>113</v>
      </c>
      <c r="B190" s="110" t="s">
        <v>112</v>
      </c>
      <c r="C190" s="110" t="s">
        <v>111</v>
      </c>
      <c r="D190" s="110" t="s">
        <v>111</v>
      </c>
      <c r="E190" s="110" t="s">
        <v>111</v>
      </c>
      <c r="F190" s="110" t="s">
        <v>110</v>
      </c>
      <c r="G190" s="110" t="s">
        <v>110</v>
      </c>
      <c r="H190" s="110" t="s">
        <v>110</v>
      </c>
      <c r="I190" s="110" t="s">
        <v>110</v>
      </c>
      <c r="J190" s="110" t="s">
        <v>109</v>
      </c>
      <c r="K190" s="110" t="s">
        <v>108</v>
      </c>
      <c r="L190" s="110" t="s">
        <v>1</v>
      </c>
      <c r="M190" s="94"/>
      <c r="N190" s="94"/>
    </row>
    <row r="191" spans="1:15">
      <c r="A191" s="105" t="s">
        <v>107</v>
      </c>
      <c r="B191" s="105" t="s">
        <v>106</v>
      </c>
      <c r="C191" s="105"/>
      <c r="D191" s="105"/>
      <c r="E191" s="105"/>
      <c r="F191" s="105" t="s">
        <v>105</v>
      </c>
      <c r="G191" s="105" t="s">
        <v>105</v>
      </c>
      <c r="H191" s="105" t="s">
        <v>105</v>
      </c>
      <c r="I191" s="105" t="s">
        <v>105</v>
      </c>
      <c r="J191" s="105" t="s">
        <v>104</v>
      </c>
      <c r="K191" s="105" t="s">
        <v>104</v>
      </c>
      <c r="L191" s="105" t="s">
        <v>104</v>
      </c>
      <c r="M191" s="94"/>
      <c r="N191" s="94"/>
    </row>
    <row r="192" spans="1:15">
      <c r="A192" s="94"/>
      <c r="B192" s="94"/>
      <c r="C192" s="94"/>
      <c r="D192" s="94"/>
      <c r="E192" s="94"/>
      <c r="F192" s="94"/>
      <c r="G192" s="94"/>
      <c r="H192" s="94"/>
      <c r="I192" s="94"/>
      <c r="J192" s="94"/>
      <c r="K192" s="94"/>
      <c r="L192" s="94"/>
      <c r="M192" s="94"/>
      <c r="N192" s="94"/>
    </row>
    <row r="193" spans="1:14">
      <c r="A193" s="94">
        <v>50</v>
      </c>
      <c r="B193" s="94">
        <v>50</v>
      </c>
      <c r="C193" s="107">
        <f>0</f>
        <v>0</v>
      </c>
      <c r="D193" s="107">
        <f>'SNB-Compliance (2)'!I87</f>
        <v>0</v>
      </c>
      <c r="E193" s="109">
        <f>'SNB-Compliance (2)'!F83</f>
        <v>45.400000000000006</v>
      </c>
      <c r="F193" s="108">
        <f>(C193*$D$142)+(D193*$D$143)</f>
        <v>0</v>
      </c>
      <c r="G193" s="108">
        <f>$D$144*A193*1000</f>
        <v>17944.829327114454</v>
      </c>
      <c r="H193" s="108">
        <f>E193*$D$141</f>
        <v>1998797.9083004873</v>
      </c>
      <c r="I193" s="107">
        <f>F193+G193+H193</f>
        <v>2016742.7376276017</v>
      </c>
      <c r="J193" s="106">
        <f>I193/A193/365/1000</f>
        <v>0.11050645137685489</v>
      </c>
      <c r="K193" s="106">
        <f>$D$45</f>
        <v>3.5314867944874498E-2</v>
      </c>
      <c r="L193" s="106">
        <f>K193+J193</f>
        <v>0.14582131932172937</v>
      </c>
      <c r="M193" s="94"/>
      <c r="N193" s="94"/>
    </row>
    <row r="194" spans="1:14">
      <c r="A194" s="94">
        <v>100</v>
      </c>
      <c r="B194" s="94">
        <v>100</v>
      </c>
      <c r="C194" s="107">
        <f>0</f>
        <v>0</v>
      </c>
      <c r="D194" s="107">
        <f>'SNB-Compliance (2)'!I88</f>
        <v>0</v>
      </c>
      <c r="E194" s="109">
        <f>'SNB-Compliance (2)'!F88</f>
        <v>78.2</v>
      </c>
      <c r="F194" s="108">
        <f>(C194*$D$142)+(D194*$D$143)</f>
        <v>0</v>
      </c>
      <c r="G194" s="108">
        <f>$D$144*A194*1000</f>
        <v>35889.658654228908</v>
      </c>
      <c r="H194" s="108">
        <f>E194*$D$141</f>
        <v>3442863.357469121</v>
      </c>
      <c r="I194" s="107">
        <f>F194+G194+H194</f>
        <v>3478753.0161233498</v>
      </c>
      <c r="J194" s="106">
        <f>I194/A194/365/1000</f>
        <v>9.5308301811598606E-2</v>
      </c>
      <c r="K194" s="106">
        <f>$D$45</f>
        <v>3.5314867944874498E-2</v>
      </c>
      <c r="L194" s="106">
        <f>K194+J194</f>
        <v>0.13062316975647309</v>
      </c>
      <c r="M194" s="94"/>
      <c r="N194" s="94"/>
    </row>
    <row r="195" spans="1:14">
      <c r="A195" s="94">
        <v>150</v>
      </c>
      <c r="B195" s="94">
        <v>150</v>
      </c>
      <c r="C195" s="107">
        <f>0</f>
        <v>0</v>
      </c>
      <c r="D195" s="107">
        <f>'SNB-Compliance (2)'!I89</f>
        <v>0</v>
      </c>
      <c r="E195" s="109">
        <f>'SNB-Compliance (2)'!F92</f>
        <v>123.4</v>
      </c>
      <c r="F195" s="108">
        <f>(C195*$D$142)+(D195*$D$143)</f>
        <v>0</v>
      </c>
      <c r="G195" s="108">
        <f>$D$144*A195*1000</f>
        <v>53834.487981343365</v>
      </c>
      <c r="H195" s="108">
        <f>E195*$D$141</f>
        <v>5432855.988640531</v>
      </c>
      <c r="I195" s="107">
        <f>F195+G195+H195</f>
        <v>5486690.4766218746</v>
      </c>
      <c r="J195" s="106">
        <f>I195/A195/365/1000</f>
        <v>0.10021352468715752</v>
      </c>
      <c r="K195" s="106">
        <f>$D$45</f>
        <v>3.5314867944874498E-2</v>
      </c>
      <c r="L195" s="106">
        <f>K195+J195</f>
        <v>0.13552839263203204</v>
      </c>
      <c r="M195" s="94"/>
      <c r="N195" s="94"/>
    </row>
    <row r="196" spans="1:14">
      <c r="A196" s="94">
        <v>200</v>
      </c>
      <c r="B196" s="94">
        <v>200</v>
      </c>
      <c r="C196" s="107">
        <f>0</f>
        <v>0</v>
      </c>
      <c r="D196" s="107">
        <f>'SNB-Compliance (2)'!I90</f>
        <v>0</v>
      </c>
      <c r="E196" s="109">
        <f>'SNB-Compliance (2)'!F97</f>
        <v>123.5</v>
      </c>
      <c r="F196" s="108">
        <f>(C196*$D$142)+(D196*$D$143)</f>
        <v>0</v>
      </c>
      <c r="G196" s="108">
        <f>$D$144*A196*1000</f>
        <v>71779.317308457816</v>
      </c>
      <c r="H196" s="108">
        <f>E196*$D$141</f>
        <v>5437258.6272050692</v>
      </c>
      <c r="I196" s="107">
        <f>F196+G196+H196</f>
        <v>5509037.9445135267</v>
      </c>
      <c r="J196" s="106">
        <f>I196/A196/365/1000</f>
        <v>7.5466273212514062E-2</v>
      </c>
      <c r="K196" s="106">
        <f>$D$45</f>
        <v>3.5314867944874498E-2</v>
      </c>
      <c r="L196" s="106">
        <f>K196+J196</f>
        <v>0.11078114115738856</v>
      </c>
      <c r="M196" s="94"/>
      <c r="N196" s="94"/>
    </row>
    <row r="197" spans="1:14">
      <c r="A197" s="94"/>
      <c r="B197" s="94"/>
      <c r="C197" s="94"/>
      <c r="D197" s="94"/>
      <c r="E197" s="94"/>
      <c r="F197" s="94"/>
      <c r="G197" s="94"/>
      <c r="H197" s="94"/>
      <c r="I197" s="94"/>
      <c r="J197" s="94"/>
      <c r="K197" s="94"/>
      <c r="L197" s="94"/>
      <c r="M197" s="94"/>
      <c r="N197" s="94"/>
    </row>
    <row r="198" spans="1:14" ht="14.4">
      <c r="A198" s="94"/>
      <c r="B198" s="94"/>
      <c r="C198" s="94"/>
      <c r="D198" s="94"/>
      <c r="E198" s="94"/>
      <c r="F198" s="94"/>
      <c r="G198" s="94"/>
      <c r="H198" s="94"/>
      <c r="I198" s="94"/>
      <c r="J198" s="104" t="s">
        <v>124</v>
      </c>
      <c r="K198" s="94"/>
      <c r="L198" s="211">
        <f>AVERAGE(L193:L196)</f>
        <v>0.13068850571690577</v>
      </c>
      <c r="M198" s="94" t="s">
        <v>123</v>
      </c>
      <c r="N198" s="94"/>
    </row>
    <row r="199" spans="1:14">
      <c r="A199" s="94"/>
      <c r="B199" s="94"/>
      <c r="C199" s="94"/>
      <c r="D199" s="94"/>
      <c r="E199" s="94"/>
      <c r="F199" s="94"/>
      <c r="G199" s="94"/>
      <c r="H199" s="94"/>
      <c r="I199" s="94"/>
      <c r="J199" s="104"/>
      <c r="K199" s="94"/>
      <c r="L199" s="103"/>
      <c r="M199" s="94"/>
      <c r="N199" s="94"/>
    </row>
    <row r="200" spans="1:14">
      <c r="M200" s="94"/>
      <c r="N200" s="94"/>
    </row>
    <row r="201" spans="1:14" ht="16.2" thickBot="1">
      <c r="A201" s="113" t="s">
        <v>122</v>
      </c>
      <c r="B201" s="94"/>
      <c r="C201" s="94"/>
      <c r="D201" s="94"/>
      <c r="E201" s="94"/>
      <c r="F201" s="94"/>
      <c r="G201" s="94"/>
      <c r="H201" s="94"/>
      <c r="I201" s="94"/>
      <c r="J201" s="94"/>
      <c r="K201" s="94"/>
      <c r="L201" s="94"/>
      <c r="M201" s="94"/>
      <c r="N201" s="94"/>
    </row>
    <row r="202" spans="1:14" ht="14.4" thickBot="1">
      <c r="A202" s="94"/>
      <c r="B202" s="94"/>
      <c r="C202" s="94"/>
      <c r="D202" s="94"/>
      <c r="E202" s="94"/>
      <c r="F202" s="94"/>
      <c r="G202" s="105" t="s">
        <v>121</v>
      </c>
      <c r="H202" s="94"/>
      <c r="I202" s="94"/>
      <c r="J202" s="112" t="s">
        <v>120</v>
      </c>
      <c r="K202" s="91"/>
      <c r="L202" s="111"/>
      <c r="M202" s="94"/>
      <c r="N202" s="94"/>
    </row>
    <row r="203" spans="1:14">
      <c r="A203" s="105"/>
      <c r="B203" s="105"/>
      <c r="C203" s="105" t="s">
        <v>117</v>
      </c>
      <c r="D203" s="105" t="s">
        <v>119</v>
      </c>
      <c r="E203" s="105" t="s">
        <v>118</v>
      </c>
      <c r="F203" s="105" t="s">
        <v>117</v>
      </c>
      <c r="G203" s="105" t="s">
        <v>116</v>
      </c>
      <c r="H203" s="105" t="s">
        <v>115</v>
      </c>
      <c r="I203" s="105"/>
      <c r="J203" s="105" t="s">
        <v>110</v>
      </c>
      <c r="K203" s="105" t="s">
        <v>114</v>
      </c>
      <c r="L203" s="94"/>
      <c r="M203" s="94"/>
      <c r="N203" s="94"/>
    </row>
    <row r="204" spans="1:14">
      <c r="A204" s="110" t="s">
        <v>113</v>
      </c>
      <c r="B204" s="110" t="s">
        <v>112</v>
      </c>
      <c r="C204" s="110" t="s">
        <v>111</v>
      </c>
      <c r="D204" s="110" t="s">
        <v>111</v>
      </c>
      <c r="E204" s="110" t="s">
        <v>111</v>
      </c>
      <c r="F204" s="110" t="s">
        <v>110</v>
      </c>
      <c r="G204" s="110" t="s">
        <v>110</v>
      </c>
      <c r="H204" s="110" t="s">
        <v>110</v>
      </c>
      <c r="I204" s="110" t="s">
        <v>110</v>
      </c>
      <c r="J204" s="110" t="s">
        <v>109</v>
      </c>
      <c r="K204" s="110" t="s">
        <v>108</v>
      </c>
      <c r="L204" s="110" t="s">
        <v>1</v>
      </c>
      <c r="M204" s="94"/>
      <c r="N204" s="94"/>
    </row>
    <row r="205" spans="1:14">
      <c r="A205" s="105" t="s">
        <v>107</v>
      </c>
      <c r="B205" s="105" t="s">
        <v>106</v>
      </c>
      <c r="C205" s="105"/>
      <c r="D205" s="105"/>
      <c r="E205" s="105"/>
      <c r="F205" s="105" t="s">
        <v>105</v>
      </c>
      <c r="G205" s="105" t="s">
        <v>105</v>
      </c>
      <c r="H205" s="105" t="s">
        <v>105</v>
      </c>
      <c r="I205" s="105" t="s">
        <v>105</v>
      </c>
      <c r="J205" s="105" t="s">
        <v>104</v>
      </c>
      <c r="K205" s="105" t="s">
        <v>104</v>
      </c>
      <c r="L205" s="105" t="s">
        <v>104</v>
      </c>
      <c r="M205" s="94"/>
      <c r="N205" s="94"/>
    </row>
    <row r="206" spans="1:14">
      <c r="A206" s="94"/>
      <c r="B206" s="94"/>
      <c r="C206" s="94"/>
      <c r="D206" s="94"/>
      <c r="E206" s="94"/>
      <c r="F206" s="94"/>
      <c r="G206" s="94"/>
      <c r="H206" s="94"/>
      <c r="I206" s="94"/>
      <c r="J206" s="94"/>
      <c r="K206" s="94"/>
      <c r="L206" s="94"/>
      <c r="M206" s="94"/>
      <c r="N206" s="94"/>
    </row>
    <row r="207" spans="1:14">
      <c r="A207" s="94">
        <v>50</v>
      </c>
      <c r="B207" s="94">
        <v>50</v>
      </c>
      <c r="C207" s="107">
        <v>1</v>
      </c>
      <c r="D207" s="107">
        <f>'SNB-Compliance (2)'!F107</f>
        <v>1</v>
      </c>
      <c r="E207" s="109">
        <v>0</v>
      </c>
      <c r="F207" s="108">
        <f>(C207*$D$142)+(D207*$D$143)</f>
        <v>249461.67312354443</v>
      </c>
      <c r="G207" s="108">
        <f>$D$144*A207*1000</f>
        <v>17944.829327114454</v>
      </c>
      <c r="H207" s="108">
        <f>E207*$D$141</f>
        <v>0</v>
      </c>
      <c r="I207" s="107">
        <f>F207+G207+H207</f>
        <v>267406.50245065888</v>
      </c>
      <c r="J207" s="106">
        <f>I207/A207/365/1000</f>
        <v>1.4652411093186789E-2</v>
      </c>
      <c r="K207" s="106">
        <f>$D$45</f>
        <v>3.5314867944874498E-2</v>
      </c>
      <c r="L207" s="106">
        <f>K207+J207</f>
        <v>4.9967279038061287E-2</v>
      </c>
      <c r="M207" s="94"/>
      <c r="N207" s="94"/>
    </row>
    <row r="208" spans="1:14">
      <c r="A208" s="94">
        <v>100</v>
      </c>
      <c r="B208" s="94">
        <v>100</v>
      </c>
      <c r="C208" s="107">
        <v>1</v>
      </c>
      <c r="D208" s="107">
        <f>'SNB-Compliance (2)'!F108</f>
        <v>1</v>
      </c>
      <c r="E208" s="109">
        <v>0</v>
      </c>
      <c r="F208" s="108">
        <f>(C208*$D$142)+(D208*$D$143)</f>
        <v>249461.67312354443</v>
      </c>
      <c r="G208" s="108">
        <f>$D$144*A208*1000</f>
        <v>35889.658654228908</v>
      </c>
      <c r="H208" s="108">
        <f>E208*$D$141</f>
        <v>0</v>
      </c>
      <c r="I208" s="107">
        <f>F208+G208+H208</f>
        <v>285351.33177777333</v>
      </c>
      <c r="J208" s="106">
        <f>I208/A208/365/1000</f>
        <v>7.8178447062403657E-3</v>
      </c>
      <c r="K208" s="106">
        <f>$D$45</f>
        <v>3.5314867944874498E-2</v>
      </c>
      <c r="L208" s="106">
        <f>K208+J208</f>
        <v>4.313271265111486E-2</v>
      </c>
      <c r="M208" s="94"/>
      <c r="N208" s="94"/>
    </row>
    <row r="209" spans="1:16">
      <c r="A209" s="94">
        <v>150</v>
      </c>
      <c r="B209" s="94">
        <v>150</v>
      </c>
      <c r="C209" s="107">
        <v>1</v>
      </c>
      <c r="D209" s="107">
        <f>'SNB-Compliance (2)'!F110</f>
        <v>6</v>
      </c>
      <c r="E209" s="109">
        <v>0</v>
      </c>
      <c r="F209" s="108">
        <f>(C209*$D$142)+(D209*$D$143)</f>
        <v>723117.53692560527</v>
      </c>
      <c r="G209" s="108">
        <f>$D$144*A209*1000</f>
        <v>53834.487981343365</v>
      </c>
      <c r="H209" s="108">
        <f>E209*$D$141</f>
        <v>0</v>
      </c>
      <c r="I209" s="107">
        <f>F209+G209+H209</f>
        <v>776952.02490694867</v>
      </c>
      <c r="J209" s="106">
        <f>I209/A209/365/1000</f>
        <v>1.4190904564510477E-2</v>
      </c>
      <c r="K209" s="106">
        <f>$D$45</f>
        <v>3.5314867944874498E-2</v>
      </c>
      <c r="L209" s="106">
        <f>K209+J209</f>
        <v>4.9505772509384975E-2</v>
      </c>
      <c r="M209" s="94"/>
      <c r="N209" s="94"/>
    </row>
    <row r="210" spans="1:16">
      <c r="A210" s="94">
        <v>200</v>
      </c>
      <c r="B210" s="94">
        <v>200</v>
      </c>
      <c r="C210" s="107">
        <v>1</v>
      </c>
      <c r="D210" s="107">
        <f>'SNB-Compliance (2)'!F111</f>
        <v>6</v>
      </c>
      <c r="E210" s="109">
        <v>0</v>
      </c>
      <c r="F210" s="108">
        <f>(C210*$D$142)+(D210*$D$143)</f>
        <v>723117.53692560527</v>
      </c>
      <c r="G210" s="108">
        <f>$D$144*A210*1000</f>
        <v>71779.317308457816</v>
      </c>
      <c r="H210" s="108">
        <f>E210*$D$141</f>
        <v>0</v>
      </c>
      <c r="I210" s="107">
        <f>F210+G210+H210</f>
        <v>794896.85423406307</v>
      </c>
      <c r="J210" s="106">
        <f>I210/A210/365/1000</f>
        <v>1.0888998003206345E-2</v>
      </c>
      <c r="K210" s="106">
        <f>$D$45</f>
        <v>3.5314867944874498E-2</v>
      </c>
      <c r="L210" s="106">
        <f>K210+J210</f>
        <v>4.6203865948080847E-2</v>
      </c>
      <c r="M210" s="94"/>
      <c r="N210" s="94"/>
    </row>
    <row r="211" spans="1:16">
      <c r="A211" s="94"/>
      <c r="B211" s="94"/>
      <c r="C211" s="94"/>
      <c r="D211" s="94"/>
      <c r="E211" s="94"/>
      <c r="F211" s="94"/>
      <c r="G211" s="94"/>
      <c r="H211" s="94"/>
      <c r="I211" s="94"/>
      <c r="J211" s="94"/>
      <c r="K211" s="94"/>
      <c r="L211" s="94"/>
      <c r="M211" s="105" t="s">
        <v>103</v>
      </c>
      <c r="N211" s="94"/>
    </row>
    <row r="212" spans="1:16" ht="14.4">
      <c r="A212" s="94"/>
      <c r="B212" s="94"/>
      <c r="C212" s="94"/>
      <c r="D212" s="94"/>
      <c r="E212" s="94"/>
      <c r="F212" s="94"/>
      <c r="G212" s="94"/>
      <c r="H212" s="94"/>
      <c r="I212" s="94"/>
      <c r="J212" s="104" t="s">
        <v>102</v>
      </c>
      <c r="K212" s="94"/>
      <c r="L212" s="210">
        <f>AVERAGE(L207:L210)</f>
        <v>4.7202407536660496E-2</v>
      </c>
      <c r="M212" s="94"/>
      <c r="N212" s="94"/>
    </row>
    <row r="213" spans="1:16">
      <c r="A213" s="94"/>
      <c r="B213" s="94"/>
      <c r="C213" s="94"/>
      <c r="D213" s="94"/>
      <c r="E213" s="94"/>
      <c r="F213" s="94"/>
      <c r="G213" s="94"/>
      <c r="H213" s="94"/>
      <c r="I213" s="94"/>
      <c r="J213" s="104"/>
      <c r="K213" s="94"/>
      <c r="L213" s="103"/>
      <c r="M213" s="102" t="s">
        <v>101</v>
      </c>
      <c r="N213" s="94"/>
    </row>
    <row r="214" spans="1:16" ht="15.6">
      <c r="A214" s="94"/>
      <c r="B214" s="94"/>
      <c r="C214" s="101"/>
      <c r="D214" s="100"/>
      <c r="E214" s="100"/>
      <c r="F214" s="100"/>
      <c r="G214" s="100"/>
      <c r="H214" s="100"/>
      <c r="I214" s="100"/>
      <c r="J214" s="99" t="s">
        <v>100</v>
      </c>
      <c r="K214" s="98"/>
      <c r="L214" s="97">
        <f>ROUND((L185+L198+L212)/3,5)</f>
        <v>8.2479999999999998E-2</v>
      </c>
      <c r="M214" s="94"/>
      <c r="N214" s="94"/>
      <c r="O214" s="209">
        <f>1.42/1.6</f>
        <v>0.88749999999999996</v>
      </c>
      <c r="P214" s="13">
        <f>O214*L214</f>
        <v>7.3200999999999988E-2</v>
      </c>
    </row>
    <row r="215" spans="1:16">
      <c r="A215" s="94"/>
      <c r="B215" s="94"/>
      <c r="C215" s="94"/>
      <c r="D215" s="93"/>
      <c r="E215" s="93"/>
      <c r="F215" s="93"/>
      <c r="G215" s="94"/>
      <c r="H215" s="94"/>
      <c r="I215" s="94"/>
      <c r="J215" s="94"/>
      <c r="K215" s="94"/>
      <c r="L215" s="94"/>
      <c r="M215" s="94"/>
      <c r="N215" s="94"/>
    </row>
    <row r="216" spans="1:16" ht="15.6">
      <c r="A216" s="94"/>
      <c r="B216" s="94"/>
      <c r="C216" s="94"/>
      <c r="D216" s="93"/>
      <c r="E216" s="93"/>
      <c r="F216" s="93"/>
      <c r="G216" s="94"/>
      <c r="H216" s="94"/>
      <c r="I216" s="93"/>
      <c r="J216" s="95"/>
      <c r="K216" s="96"/>
      <c r="L216" s="95" t="s">
        <v>99</v>
      </c>
      <c r="M216" s="94"/>
      <c r="N216" s="94"/>
    </row>
    <row r="217" spans="1:16" ht="14.4" thickBot="1">
      <c r="A217" s="94"/>
      <c r="B217" s="94"/>
      <c r="C217" s="94"/>
      <c r="D217" s="93"/>
      <c r="E217" s="93"/>
      <c r="F217" s="93"/>
      <c r="G217" s="94"/>
      <c r="H217" s="94"/>
      <c r="I217" s="94"/>
      <c r="J217" s="94"/>
      <c r="K217" s="94"/>
      <c r="L217" s="94"/>
      <c r="M217" s="94"/>
      <c r="N217" s="94"/>
    </row>
    <row r="218" spans="1:16" ht="16.2" thickBot="1">
      <c r="A218" s="94"/>
      <c r="B218" s="94"/>
      <c r="C218" s="94"/>
      <c r="D218" s="93"/>
      <c r="E218" s="93"/>
      <c r="F218" s="93"/>
      <c r="G218" s="92"/>
      <c r="H218" s="91"/>
      <c r="I218" s="91"/>
      <c r="J218" s="90" t="s">
        <v>98</v>
      </c>
      <c r="K218" s="89"/>
      <c r="L218" s="88">
        <f>ROUND((L214*365/12),5)</f>
        <v>2.5087700000000002</v>
      </c>
    </row>
    <row r="219" spans="1:16">
      <c r="K219" s="49"/>
    </row>
    <row r="220" spans="1:16">
      <c r="K220" s="49"/>
    </row>
    <row r="221" spans="1:16" s="87" customFormat="1"/>
  </sheetData>
  <mergeCells count="5">
    <mergeCell ref="D54:G54"/>
    <mergeCell ref="B57:B62"/>
    <mergeCell ref="B63:B67"/>
    <mergeCell ref="B68:B71"/>
    <mergeCell ref="B72:B74"/>
  </mergeCells>
  <pageMargins left="0.75" right="0.75" top="1" bottom="1" header="0.5" footer="0.5"/>
  <pageSetup paperSize="5" scale="46" fitToHeight="4" orientation="landscape" r:id="rId1"/>
  <headerFooter alignWithMargins="0"/>
  <rowBreaks count="3" manualBreakCount="3">
    <brk id="47" max="12" man="1"/>
    <brk id="112" max="12" man="1"/>
    <brk id="148" max="12"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C3:V44"/>
  <sheetViews>
    <sheetView zoomScale="80" zoomScaleNormal="80" workbookViewId="0">
      <selection activeCell="T11" sqref="T11:U11"/>
    </sheetView>
  </sheetViews>
  <sheetFormatPr defaultColWidth="9.109375" defaultRowHeight="14.4"/>
  <cols>
    <col min="1" max="2" width="9.109375" style="238"/>
    <col min="3" max="3" width="50.109375" style="238" bestFit="1" customWidth="1"/>
    <col min="4" max="4" width="18.109375" style="239" bestFit="1" customWidth="1"/>
    <col min="5" max="5" width="18.109375" style="239" customWidth="1"/>
    <col min="6" max="6" width="16.88671875" style="238" bestFit="1" customWidth="1"/>
    <col min="7" max="7" width="13.88671875" style="238" bestFit="1" customWidth="1"/>
    <col min="8" max="12" width="12" style="238" bestFit="1" customWidth="1"/>
    <col min="13" max="13" width="9.109375" style="238"/>
    <col min="14" max="14" width="11.33203125" style="238" bestFit="1" customWidth="1"/>
    <col min="15" max="19" width="9.109375" style="238"/>
    <col min="20" max="20" width="12.6640625" style="238" bestFit="1" customWidth="1"/>
    <col min="21" max="21" width="12.88671875" style="238" customWidth="1"/>
    <col min="22" max="22" width="14.44140625" style="238" bestFit="1" customWidth="1"/>
    <col min="23" max="16384" width="9.109375" style="238"/>
  </cols>
  <sheetData>
    <row r="3" spans="3:22">
      <c r="C3" s="253" t="s">
        <v>256</v>
      </c>
      <c r="F3" s="252" t="s">
        <v>255</v>
      </c>
    </row>
    <row r="5" spans="3:22">
      <c r="D5" s="238"/>
      <c r="E5" s="380" t="s">
        <v>390</v>
      </c>
      <c r="F5" s="251">
        <v>2014</v>
      </c>
      <c r="G5" s="251">
        <f t="shared" ref="G5:L5" si="0">F5+1</f>
        <v>2015</v>
      </c>
      <c r="H5" s="251">
        <f t="shared" si="0"/>
        <v>2016</v>
      </c>
      <c r="I5" s="251">
        <f t="shared" si="0"/>
        <v>2017</v>
      </c>
      <c r="J5" s="251">
        <f t="shared" si="0"/>
        <v>2018</v>
      </c>
      <c r="K5" s="251">
        <f t="shared" si="0"/>
        <v>2019</v>
      </c>
      <c r="L5" s="251">
        <f t="shared" si="0"/>
        <v>2020</v>
      </c>
    </row>
    <row r="6" spans="3:22">
      <c r="C6" s="364" t="s">
        <v>401</v>
      </c>
      <c r="D6" s="238"/>
      <c r="E6" s="243">
        <v>5279086</v>
      </c>
      <c r="G6" s="243" t="e">
        <f>IF(#REF!=1,G9,#REF!)</f>
        <v>#REF!</v>
      </c>
      <c r="H6" s="243" t="e">
        <f>IF(#REF!=1,H9,#REF!)</f>
        <v>#REF!</v>
      </c>
      <c r="I6" s="243" t="e">
        <f>IF(#REF!=1,I9,#REF!)</f>
        <v>#REF!</v>
      </c>
      <c r="J6" s="243" t="e">
        <f>IF(#REF!=1,J9,#REF!)</f>
        <v>#REF!</v>
      </c>
      <c r="K6" s="243" t="e">
        <f>IF(#REF!=1,K9,#REF!)</f>
        <v>#REF!</v>
      </c>
      <c r="L6" s="243" t="e">
        <f>IF(#REF!=1,L9,#REF!)</f>
        <v>#REF!</v>
      </c>
    </row>
    <row r="7" spans="3:22">
      <c r="C7" s="1" t="s">
        <v>402</v>
      </c>
      <c r="D7" s="238"/>
      <c r="E7" s="243">
        <v>107454</v>
      </c>
      <c r="F7" s="383"/>
      <c r="G7" s="365" t="e">
        <f>($E$7/$E$6)*G6</f>
        <v>#REF!</v>
      </c>
      <c r="H7" s="365" t="e">
        <f>($E$7/$E$6)*H6</f>
        <v>#REF!</v>
      </c>
      <c r="I7" s="365" t="e">
        <f>($E$7/$E$6)*I6</f>
        <v>#REF!</v>
      </c>
      <c r="J7" s="365" t="e">
        <f>($E$7/$E$6)*J6</f>
        <v>#REF!</v>
      </c>
      <c r="K7" s="365" t="e">
        <f>($E$7/$E$6)*K6</f>
        <v>#REF!</v>
      </c>
      <c r="L7" s="243">
        <v>92669.755999999994</v>
      </c>
      <c r="N7" s="365"/>
    </row>
    <row r="8" spans="3:22">
      <c r="C8" s="250" t="s">
        <v>162</v>
      </c>
      <c r="D8" s="249"/>
      <c r="E8" s="243">
        <f>E6-E7</f>
        <v>5171632</v>
      </c>
      <c r="F8" s="382" t="s">
        <v>400</v>
      </c>
      <c r="G8" s="243" t="e">
        <f t="shared" ref="G8:L8" si="1">G6-G7</f>
        <v>#REF!</v>
      </c>
      <c r="H8" s="243" t="e">
        <f t="shared" si="1"/>
        <v>#REF!</v>
      </c>
      <c r="I8" s="243" t="e">
        <f t="shared" si="1"/>
        <v>#REF!</v>
      </c>
      <c r="J8" s="243" t="e">
        <f t="shared" si="1"/>
        <v>#REF!</v>
      </c>
      <c r="K8" s="243" t="e">
        <f t="shared" si="1"/>
        <v>#REF!</v>
      </c>
      <c r="L8" s="243" t="e">
        <f t="shared" si="1"/>
        <v>#REF!</v>
      </c>
    </row>
    <row r="9" spans="3:22">
      <c r="C9" s="250"/>
      <c r="D9" s="249"/>
      <c r="E9" s="453"/>
      <c r="F9" s="364" t="s">
        <v>403</v>
      </c>
      <c r="G9" s="243">
        <v>4719978.077238082</v>
      </c>
      <c r="H9" s="243">
        <v>4543185.577238082</v>
      </c>
      <c r="I9" s="243">
        <v>4396764.243904748</v>
      </c>
      <c r="J9" s="243">
        <v>4049209.7439047494</v>
      </c>
      <c r="K9" s="243">
        <v>3702622.7439047475</v>
      </c>
      <c r="L9" s="243">
        <v>3356291.2439047494</v>
      </c>
      <c r="T9" s="248" t="s">
        <v>80</v>
      </c>
    </row>
    <row r="10" spans="3:22">
      <c r="C10" s="239"/>
      <c r="D10" s="381"/>
      <c r="E10" s="243"/>
      <c r="T10" s="248" t="s">
        <v>219</v>
      </c>
      <c r="U10" s="248" t="s">
        <v>248</v>
      </c>
      <c r="V10" s="248" t="s">
        <v>220</v>
      </c>
    </row>
    <row r="11" spans="3:22">
      <c r="C11" s="239"/>
      <c r="D11" s="381"/>
      <c r="E11" s="243"/>
      <c r="S11" s="248" t="s">
        <v>244</v>
      </c>
      <c r="T11" s="243">
        <v>5279086</v>
      </c>
      <c r="U11" s="243">
        <v>107454</v>
      </c>
      <c r="V11" s="243">
        <v>5171632</v>
      </c>
    </row>
    <row r="12" spans="3:22">
      <c r="C12" s="239"/>
      <c r="D12" s="381"/>
      <c r="E12" s="243"/>
    </row>
    <row r="13" spans="3:22">
      <c r="C13" s="239" t="s">
        <v>156</v>
      </c>
      <c r="D13" s="385">
        <f>E13/$E$8</f>
        <v>0.69880107478645037</v>
      </c>
      <c r="E13" s="243">
        <v>3613942</v>
      </c>
      <c r="F13" s="384">
        <f>F19-F23</f>
        <v>3476042.7559273299</v>
      </c>
      <c r="G13" s="243" t="e">
        <f>IF(#REF!=1,$F13,$D13*G$8)</f>
        <v>#REF!</v>
      </c>
      <c r="H13" s="243" t="e">
        <f>IF(#REF!=1,$F13,$D13*H$8)</f>
        <v>#REF!</v>
      </c>
      <c r="I13" s="243" t="e">
        <f>IF(#REF!=1,$F13,$D13*I$8)</f>
        <v>#REF!</v>
      </c>
      <c r="J13" s="243" t="e">
        <f>IF(#REF!=1,$F13,$D13*J$8)</f>
        <v>#REF!</v>
      </c>
      <c r="K13" s="243" t="e">
        <f>IF(#REF!=1,$F13,$D13*K$8)</f>
        <v>#REF!</v>
      </c>
      <c r="L13" s="243" t="e">
        <f>IF(#REF!=1,$F13,$D13*L$8)</f>
        <v>#REF!</v>
      </c>
      <c r="T13" s="243">
        <f>T11-U11</f>
        <v>5171632</v>
      </c>
    </row>
    <row r="14" spans="3:22">
      <c r="C14" s="239" t="s">
        <v>154</v>
      </c>
      <c r="D14" s="385">
        <f>E14/$E$8</f>
        <v>2.5427563291432954E-2</v>
      </c>
      <c r="E14" s="243">
        <v>131502</v>
      </c>
      <c r="F14" s="384">
        <f>(F$20-F$24)*F35</f>
        <v>101301.34648037718</v>
      </c>
      <c r="G14" s="243" t="e">
        <f>IF(#REF!=1,$F14,$D14*G$8)</f>
        <v>#REF!</v>
      </c>
      <c r="H14" s="243" t="e">
        <f>IF(#REF!=1,$F14,$D14*H$8)</f>
        <v>#REF!</v>
      </c>
      <c r="I14" s="243" t="e">
        <f>IF(#REF!=1,$F14,$D14*I$8)</f>
        <v>#REF!</v>
      </c>
      <c r="J14" s="243" t="e">
        <f>IF(#REF!=1,$F14,$D14*J$8)</f>
        <v>#REF!</v>
      </c>
      <c r="K14" s="243" t="e">
        <f>IF(#REF!=1,$F14,$D14*K$8)</f>
        <v>#REF!</v>
      </c>
      <c r="L14" s="243" t="e">
        <f>IF(#REF!=1,$F14,$D14*L$8)</f>
        <v>#REF!</v>
      </c>
    </row>
    <row r="15" spans="3:22">
      <c r="C15" s="239" t="s">
        <v>152</v>
      </c>
      <c r="D15" s="385">
        <f>E15/$E$8</f>
        <v>0.24918826397547233</v>
      </c>
      <c r="E15" s="243">
        <v>1288710</v>
      </c>
      <c r="F15" s="384">
        <f>(F$20-F$24)*F36</f>
        <v>1241557.3322689321</v>
      </c>
      <c r="G15" s="243" t="e">
        <f>IF(#REF!=1,$F15,$D15*G$8)</f>
        <v>#REF!</v>
      </c>
      <c r="H15" s="243" t="e">
        <f>IF(#REF!=1,$F15,$D15*H$8)</f>
        <v>#REF!</v>
      </c>
      <c r="I15" s="243" t="e">
        <f>IF(#REF!=1,$F15,$D15*I$8)</f>
        <v>#REF!</v>
      </c>
      <c r="J15" s="243" t="e">
        <f>IF(#REF!=1,$F15,$D15*J$8)</f>
        <v>#REF!</v>
      </c>
      <c r="K15" s="243" t="e">
        <f>IF(#REF!=1,$F15,$D15*K$8)</f>
        <v>#REF!</v>
      </c>
      <c r="L15" s="243" t="e">
        <f>IF(#REF!=1,$F15,$D15*L$8)</f>
        <v>#REF!</v>
      </c>
      <c r="U15" s="453"/>
    </row>
    <row r="16" spans="3:22">
      <c r="C16" s="239" t="s">
        <v>150</v>
      </c>
      <c r="D16" s="247"/>
      <c r="E16" s="247"/>
      <c r="G16" s="246" t="e">
        <f>IF(#REF!=1,56570,#REF!+#REF!)</f>
        <v>#REF!</v>
      </c>
      <c r="H16" s="246" t="e">
        <f>IF(#REF!=1,56570,#REF!+#REF!)</f>
        <v>#REF!</v>
      </c>
      <c r="I16" s="246" t="e">
        <f>IF(#REF!=1,56570,#REF!+#REF!)</f>
        <v>#REF!</v>
      </c>
      <c r="J16" s="246" t="e">
        <f>IF(#REF!=1,56570,#REF!+#REF!)</f>
        <v>#REF!</v>
      </c>
      <c r="K16" s="246" t="e">
        <f>IF(#REF!=1,56570,#REF!+#REF!)</f>
        <v>#REF!</v>
      </c>
      <c r="L16" s="246" t="e">
        <f>IF(#REF!=1,56570,#REF!+#REF!)</f>
        <v>#REF!</v>
      </c>
    </row>
    <row r="19" spans="3:13">
      <c r="C19" s="239" t="s">
        <v>254</v>
      </c>
      <c r="F19" s="244">
        <v>9068950.9111588597</v>
      </c>
      <c r="M19" s="238" t="s">
        <v>245</v>
      </c>
    </row>
    <row r="20" spans="3:13">
      <c r="C20" s="239" t="s">
        <v>253</v>
      </c>
      <c r="F20" s="244">
        <v>3399418.3508507088</v>
      </c>
      <c r="M20" s="238" t="s">
        <v>245</v>
      </c>
    </row>
    <row r="21" spans="3:13">
      <c r="C21" s="239" t="s">
        <v>252</v>
      </c>
      <c r="F21" s="244"/>
    </row>
    <row r="22" spans="3:13">
      <c r="C22" s="239"/>
      <c r="F22" s="244"/>
    </row>
    <row r="23" spans="3:13">
      <c r="C23" s="239" t="s">
        <v>251</v>
      </c>
      <c r="F23" s="244">
        <v>5592908.1552315298</v>
      </c>
      <c r="M23" s="238" t="s">
        <v>245</v>
      </c>
    </row>
    <row r="24" spans="3:13">
      <c r="C24" s="239" t="s">
        <v>250</v>
      </c>
      <c r="F24" s="244">
        <v>2056559.6721013996</v>
      </c>
      <c r="M24" s="238" t="s">
        <v>245</v>
      </c>
    </row>
    <row r="25" spans="3:13">
      <c r="C25" s="239" t="s">
        <v>249</v>
      </c>
      <c r="F25" s="244"/>
    </row>
    <row r="26" spans="3:13">
      <c r="C26" s="239"/>
      <c r="F26" s="244"/>
    </row>
    <row r="27" spans="3:13">
      <c r="D27" s="244"/>
      <c r="E27" s="244"/>
    </row>
    <row r="28" spans="3:13">
      <c r="C28" s="245" t="s">
        <v>248</v>
      </c>
      <c r="D28" s="244"/>
      <c r="E28" s="244"/>
    </row>
    <row r="29" spans="3:13">
      <c r="C29" s="238" t="s">
        <v>247</v>
      </c>
      <c r="D29" s="244"/>
      <c r="E29" s="244"/>
      <c r="F29" s="244">
        <v>172483.73561570764</v>
      </c>
      <c r="M29" s="238" t="s">
        <v>245</v>
      </c>
    </row>
    <row r="30" spans="3:13">
      <c r="C30" s="238" t="s">
        <v>246</v>
      </c>
      <c r="D30" s="244"/>
      <c r="E30" s="244"/>
      <c r="F30" s="244">
        <v>79813.979520455396</v>
      </c>
      <c r="M30" s="238" t="s">
        <v>245</v>
      </c>
    </row>
    <row r="31" spans="3:13">
      <c r="C31" s="238" t="s">
        <v>244</v>
      </c>
      <c r="D31" s="244"/>
      <c r="E31" s="244"/>
      <c r="F31" s="244">
        <f>F29-F30</f>
        <v>92669.756095252247</v>
      </c>
      <c r="G31" s="243">
        <f t="shared" ref="G31:L31" si="2">F31</f>
        <v>92669.756095252247</v>
      </c>
      <c r="H31" s="243">
        <f t="shared" si="2"/>
        <v>92669.756095252247</v>
      </c>
      <c r="I31" s="243">
        <f t="shared" si="2"/>
        <v>92669.756095252247</v>
      </c>
      <c r="J31" s="243">
        <f t="shared" si="2"/>
        <v>92669.756095252247</v>
      </c>
      <c r="K31" s="243">
        <f t="shared" si="2"/>
        <v>92669.756095252247</v>
      </c>
      <c r="L31" s="243">
        <f t="shared" si="2"/>
        <v>92669.756095252247</v>
      </c>
    </row>
    <row r="34" spans="3:8">
      <c r="C34" s="238" t="s">
        <v>243</v>
      </c>
    </row>
    <row r="35" spans="3:8">
      <c r="C35" s="242" t="s">
        <v>242</v>
      </c>
      <c r="D35" s="241">
        <v>10520.245955986</v>
      </c>
      <c r="E35" s="241"/>
      <c r="F35" s="240">
        <f>D35/(SUM(D35,D36))</f>
        <v>7.5437086629790151E-2</v>
      </c>
      <c r="H35" s="365"/>
    </row>
    <row r="36" spans="3:8">
      <c r="C36" s="242" t="s">
        <v>241</v>
      </c>
      <c r="D36" s="241">
        <v>128936.968339874</v>
      </c>
      <c r="E36" s="241"/>
      <c r="F36" s="240">
        <f>D36/(SUM(D36,D35))</f>
        <v>0.9245629133702099</v>
      </c>
      <c r="H36" s="365"/>
    </row>
    <row r="42" spans="3:8">
      <c r="F42" s="243"/>
    </row>
    <row r="43" spans="3:8">
      <c r="F43" s="243"/>
    </row>
    <row r="44" spans="3:8">
      <c r="F44" s="243"/>
    </row>
  </sheetData>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7"/>
  <sheetViews>
    <sheetView view="pageBreakPreview" topLeftCell="A82" zoomScaleNormal="100" zoomScaleSheetLayoutView="100" workbookViewId="0">
      <selection activeCell="G1" sqref="G1:AX1048576"/>
    </sheetView>
  </sheetViews>
  <sheetFormatPr defaultColWidth="9.109375" defaultRowHeight="14.4"/>
  <cols>
    <col min="1" max="1" width="9.44140625" style="1" customWidth="1"/>
    <col min="2" max="2" width="52.33203125" style="1" customWidth="1"/>
    <col min="3" max="3" width="16.109375" style="1" bestFit="1" customWidth="1"/>
    <col min="4" max="4" width="15.109375" style="1" bestFit="1" customWidth="1"/>
    <col min="5" max="5" width="20.44140625" style="1" customWidth="1"/>
    <col min="6" max="6" width="20.6640625" style="1" customWidth="1"/>
    <col min="7" max="16384" width="9.109375" style="1"/>
  </cols>
  <sheetData>
    <row r="1" spans="1:6" ht="15.6">
      <c r="A1" s="76" t="s">
        <v>418</v>
      </c>
      <c r="B1" s="77"/>
      <c r="C1" s="456"/>
      <c r="D1" s="4"/>
      <c r="E1" s="4"/>
      <c r="F1" s="2"/>
    </row>
    <row r="2" spans="1:6" ht="15.6">
      <c r="A2" s="76" t="s">
        <v>444</v>
      </c>
      <c r="B2" s="77"/>
      <c r="C2" s="456"/>
      <c r="D2" s="6"/>
      <c r="E2" s="6"/>
      <c r="F2" s="6"/>
    </row>
    <row r="3" spans="1:6" ht="15.6">
      <c r="A3" s="77" t="s">
        <v>419</v>
      </c>
      <c r="B3" s="456"/>
      <c r="C3" s="456"/>
      <c r="D3" s="6"/>
      <c r="E3" s="6"/>
      <c r="F3" s="6"/>
    </row>
    <row r="4" spans="1:6" ht="15.6">
      <c r="A4" s="82" t="s">
        <v>425</v>
      </c>
      <c r="B4" s="454"/>
      <c r="C4" s="454"/>
      <c r="D4" s="38"/>
      <c r="E4" s="6"/>
      <c r="F4" s="6"/>
    </row>
    <row r="5" spans="1:6" ht="15.6">
      <c r="A5" s="77"/>
      <c r="B5" s="456"/>
      <c r="C5" s="456"/>
      <c r="D5" s="6"/>
      <c r="E5" s="6"/>
      <c r="F5" s="6"/>
    </row>
    <row r="6" spans="1:6">
      <c r="A6" s="24" t="s">
        <v>66</v>
      </c>
      <c r="B6" s="2"/>
      <c r="C6" s="4"/>
      <c r="D6" s="4"/>
      <c r="E6" s="4"/>
      <c r="F6" s="4"/>
    </row>
    <row r="7" spans="1:6">
      <c r="A7" s="19"/>
      <c r="B7" s="2"/>
      <c r="C7" s="2"/>
      <c r="D7" s="2"/>
      <c r="E7" s="457"/>
      <c r="F7" s="457" t="s">
        <v>70</v>
      </c>
    </row>
    <row r="8" spans="1:6" ht="26.4">
      <c r="A8" s="3" t="s">
        <v>0</v>
      </c>
      <c r="B8" s="2"/>
      <c r="C8" s="20" t="s">
        <v>69</v>
      </c>
      <c r="D8" s="65" t="s">
        <v>70</v>
      </c>
      <c r="E8" s="458" t="s">
        <v>409</v>
      </c>
      <c r="F8" s="458" t="s">
        <v>409</v>
      </c>
    </row>
    <row r="9" spans="1:6">
      <c r="A9" s="22" t="s">
        <v>71</v>
      </c>
      <c r="B9" s="22" t="s">
        <v>68</v>
      </c>
      <c r="C9" s="459" t="s">
        <v>410</v>
      </c>
      <c r="D9" s="21" t="s">
        <v>3</v>
      </c>
      <c r="E9" s="459" t="s">
        <v>410</v>
      </c>
      <c r="F9" s="459" t="s">
        <v>3</v>
      </c>
    </row>
    <row r="10" spans="1:6">
      <c r="A10" s="3"/>
      <c r="B10" s="3" t="s">
        <v>4</v>
      </c>
      <c r="C10" s="3" t="s">
        <v>5</v>
      </c>
      <c r="D10" s="3" t="s">
        <v>6</v>
      </c>
      <c r="E10" s="460" t="s">
        <v>7</v>
      </c>
      <c r="F10" s="461" t="s">
        <v>8</v>
      </c>
    </row>
    <row r="11" spans="1:6">
      <c r="A11" s="3"/>
      <c r="B11" s="3"/>
      <c r="C11" s="2"/>
      <c r="D11" s="2"/>
      <c r="E11" s="266"/>
      <c r="F11" s="266"/>
    </row>
    <row r="12" spans="1:6">
      <c r="A12" s="19">
        <v>1</v>
      </c>
      <c r="B12" s="64" t="s">
        <v>9</v>
      </c>
      <c r="C12" s="18">
        <v>5.2319699999999996</v>
      </c>
      <c r="D12" s="18">
        <v>0.17201</v>
      </c>
      <c r="E12" s="462">
        <v>0.32346000000000003</v>
      </c>
      <c r="F12" s="463">
        <v>1.0630000000000001E-2</v>
      </c>
    </row>
    <row r="13" spans="1:6">
      <c r="A13" s="19">
        <v>2</v>
      </c>
      <c r="B13" s="64" t="s">
        <v>33</v>
      </c>
      <c r="C13" s="18">
        <v>39.718389999999999</v>
      </c>
      <c r="D13" s="18">
        <v>1.3058099999999999</v>
      </c>
      <c r="E13" s="462">
        <v>3.0360200000000002</v>
      </c>
      <c r="F13" s="463">
        <v>9.9809999999999996E-2</v>
      </c>
    </row>
    <row r="14" spans="1:6">
      <c r="A14" s="19">
        <v>3</v>
      </c>
      <c r="B14" s="64" t="s">
        <v>31</v>
      </c>
      <c r="C14" s="18">
        <v>16.927479999999999</v>
      </c>
      <c r="D14" s="18">
        <v>0.55652000000000001</v>
      </c>
      <c r="E14" s="462">
        <v>1.1173599999999999</v>
      </c>
      <c r="F14" s="463">
        <v>3.6740000000000002E-2</v>
      </c>
    </row>
    <row r="15" spans="1:6">
      <c r="A15" s="19">
        <v>4</v>
      </c>
      <c r="B15" s="64" t="s">
        <v>29</v>
      </c>
      <c r="C15" s="18">
        <v>11.84212</v>
      </c>
      <c r="D15" s="18">
        <v>0.38933000000000001</v>
      </c>
      <c r="E15" s="462">
        <v>0.68925999999999998</v>
      </c>
      <c r="F15" s="463">
        <v>2.266E-2</v>
      </c>
    </row>
    <row r="16" spans="1:6">
      <c r="A16" s="19">
        <v>5</v>
      </c>
      <c r="B16" s="64" t="s">
        <v>23</v>
      </c>
      <c r="C16" s="18">
        <v>11.39043</v>
      </c>
      <c r="D16" s="18">
        <v>0.37447999999999998</v>
      </c>
      <c r="E16" s="462">
        <v>0.65122000000000002</v>
      </c>
      <c r="F16" s="463">
        <v>2.1409999999999998E-2</v>
      </c>
    </row>
    <row r="17" spans="1:6">
      <c r="A17" s="19">
        <v>6</v>
      </c>
      <c r="B17" s="64" t="s">
        <v>20</v>
      </c>
      <c r="C17" s="18">
        <v>19.474879999999999</v>
      </c>
      <c r="D17" s="18">
        <v>0.64027000000000001</v>
      </c>
      <c r="E17" s="462">
        <v>1.3318399999999999</v>
      </c>
      <c r="F17" s="463">
        <v>4.3790000000000003E-2</v>
      </c>
    </row>
    <row r="18" spans="1:6">
      <c r="A18" s="19">
        <v>7</v>
      </c>
      <c r="B18" s="64" t="s">
        <v>18</v>
      </c>
      <c r="C18" s="18">
        <v>6.0583900000000002</v>
      </c>
      <c r="D18" s="18">
        <v>0.19918</v>
      </c>
      <c r="E18" s="462">
        <v>0.20233000000000001</v>
      </c>
      <c r="F18" s="463">
        <v>6.6499999999999997E-3</v>
      </c>
    </row>
    <row r="19" spans="1:6">
      <c r="A19" s="19">
        <v>8</v>
      </c>
      <c r="B19" s="64" t="s">
        <v>19</v>
      </c>
      <c r="C19" s="18">
        <v>15.165139999999999</v>
      </c>
      <c r="D19" s="18">
        <v>0.49858000000000002</v>
      </c>
      <c r="E19" s="462">
        <v>0.96899999999999997</v>
      </c>
      <c r="F19" s="463">
        <v>3.1859999999999999E-2</v>
      </c>
    </row>
    <row r="20" spans="1:6">
      <c r="A20" s="19">
        <v>9</v>
      </c>
      <c r="B20" s="64" t="s">
        <v>15</v>
      </c>
      <c r="C20" s="18">
        <v>15.388400000000001</v>
      </c>
      <c r="D20" s="18">
        <v>0.50592000000000004</v>
      </c>
      <c r="E20" s="462">
        <v>0.98780999999999997</v>
      </c>
      <c r="F20" s="463">
        <v>3.2480000000000002E-2</v>
      </c>
    </row>
    <row r="21" spans="1:6">
      <c r="A21" s="19">
        <v>10</v>
      </c>
      <c r="B21" s="64" t="s">
        <v>22</v>
      </c>
      <c r="C21" s="18">
        <v>14.45978</v>
      </c>
      <c r="D21" s="18">
        <v>0.47538999999999998</v>
      </c>
      <c r="E21" s="462">
        <v>0.90961999999999998</v>
      </c>
      <c r="F21" s="463">
        <v>2.9909999999999999E-2</v>
      </c>
    </row>
    <row r="22" spans="1:6">
      <c r="A22" s="19">
        <v>11</v>
      </c>
      <c r="B22" s="64" t="s">
        <v>26</v>
      </c>
      <c r="C22" s="18">
        <v>19.525680000000001</v>
      </c>
      <c r="D22" s="18">
        <v>0.64193999999999996</v>
      </c>
      <c r="E22" s="462">
        <v>1.3360799999999999</v>
      </c>
      <c r="F22" s="463">
        <v>4.3929999999999997E-2</v>
      </c>
    </row>
    <row r="23" spans="1:6">
      <c r="A23" s="19"/>
      <c r="B23" s="2"/>
      <c r="C23" s="2"/>
      <c r="D23" s="35"/>
      <c r="E23" s="2"/>
      <c r="F23" s="2"/>
    </row>
    <row r="24" spans="1:6">
      <c r="A24" s="43" t="s">
        <v>67</v>
      </c>
      <c r="B24" s="9"/>
      <c r="C24" s="2"/>
      <c r="D24" s="10"/>
      <c r="E24" s="2"/>
      <c r="F24" s="2"/>
    </row>
    <row r="25" spans="1:6">
      <c r="A25" s="43"/>
      <c r="B25" s="9"/>
      <c r="C25" s="2"/>
      <c r="D25" s="62"/>
      <c r="E25" s="457"/>
      <c r="F25" s="457" t="s">
        <v>70</v>
      </c>
    </row>
    <row r="26" spans="1:6" ht="26.4">
      <c r="A26" s="3" t="s">
        <v>0</v>
      </c>
      <c r="B26" s="2"/>
      <c r="C26" s="20" t="s">
        <v>69</v>
      </c>
      <c r="D26" s="61" t="s">
        <v>70</v>
      </c>
      <c r="E26" s="458" t="s">
        <v>409</v>
      </c>
      <c r="F26" s="458" t="s">
        <v>409</v>
      </c>
    </row>
    <row r="27" spans="1:6">
      <c r="A27" s="22" t="s">
        <v>71</v>
      </c>
      <c r="B27" s="22" t="s">
        <v>68</v>
      </c>
      <c r="C27" s="459" t="s">
        <v>410</v>
      </c>
      <c r="D27" s="56" t="s">
        <v>3</v>
      </c>
      <c r="E27" s="459" t="s">
        <v>410</v>
      </c>
      <c r="F27" s="459" t="s">
        <v>3</v>
      </c>
    </row>
    <row r="28" spans="1:6">
      <c r="A28" s="3"/>
      <c r="B28" s="3" t="s">
        <v>4</v>
      </c>
      <c r="C28" s="60" t="s">
        <v>5</v>
      </c>
      <c r="D28" s="59" t="s">
        <v>6</v>
      </c>
      <c r="E28" s="460" t="s">
        <v>7</v>
      </c>
      <c r="F28" s="461" t="s">
        <v>8</v>
      </c>
    </row>
    <row r="29" spans="1:6">
      <c r="A29" s="3"/>
      <c r="B29" s="7"/>
      <c r="C29" s="5"/>
      <c r="D29" s="63"/>
      <c r="E29" s="2"/>
      <c r="F29" s="2"/>
    </row>
    <row r="30" spans="1:6">
      <c r="A30" s="19">
        <v>12</v>
      </c>
      <c r="B30" s="54" t="s">
        <v>72</v>
      </c>
      <c r="C30" s="18">
        <v>6.9809299999999999</v>
      </c>
      <c r="D30" s="18">
        <v>0.22950999999999999</v>
      </c>
      <c r="E30" s="462">
        <v>0.22659000000000001</v>
      </c>
      <c r="F30" s="463">
        <v>7.45E-3</v>
      </c>
    </row>
    <row r="31" spans="1:6">
      <c r="A31" s="19">
        <v>13</v>
      </c>
      <c r="B31" s="54" t="s">
        <v>73</v>
      </c>
      <c r="C31" s="18">
        <v>5.1973000000000003</v>
      </c>
      <c r="D31" s="18">
        <v>0.17086999999999999</v>
      </c>
      <c r="E31" s="462">
        <v>9.0109999999999996E-2</v>
      </c>
      <c r="F31" s="463">
        <v>2.96E-3</v>
      </c>
    </row>
    <row r="32" spans="1:6">
      <c r="A32" s="19">
        <v>14</v>
      </c>
      <c r="B32" s="54" t="s">
        <v>74</v>
      </c>
      <c r="C32" s="18">
        <v>6.1383900000000002</v>
      </c>
      <c r="D32" s="18">
        <v>0.20180999999999999</v>
      </c>
      <c r="E32" s="462">
        <v>0.16211</v>
      </c>
      <c r="F32" s="463">
        <v>5.3299999999999997E-3</v>
      </c>
    </row>
    <row r="33" spans="1:6">
      <c r="A33" s="19">
        <v>15</v>
      </c>
      <c r="B33" s="54" t="s">
        <v>75</v>
      </c>
      <c r="C33" s="18">
        <v>6.0769500000000001</v>
      </c>
      <c r="D33" s="18">
        <v>0.19979</v>
      </c>
      <c r="E33" s="462">
        <v>0.15740999999999999</v>
      </c>
      <c r="F33" s="463">
        <v>5.1799999999999997E-3</v>
      </c>
    </row>
    <row r="34" spans="1:6">
      <c r="A34" s="19">
        <v>16</v>
      </c>
      <c r="B34" s="54" t="s">
        <v>423</v>
      </c>
      <c r="C34" s="18">
        <v>11.542820000000001</v>
      </c>
      <c r="D34" s="18">
        <v>0.37948999999999999</v>
      </c>
      <c r="E34" s="462">
        <v>0.57574000000000003</v>
      </c>
      <c r="F34" s="463">
        <v>1.8929999999999999E-2</v>
      </c>
    </row>
    <row r="35" spans="1:6" ht="13.2" customHeight="1">
      <c r="A35" s="19"/>
      <c r="B35" s="54"/>
      <c r="C35" s="18"/>
      <c r="D35" s="18"/>
      <c r="E35" s="462"/>
      <c r="F35" s="463"/>
    </row>
    <row r="36" spans="1:6" ht="13.2" customHeight="1">
      <c r="A36" s="43" t="s">
        <v>435</v>
      </c>
      <c r="B36" s="9"/>
      <c r="C36" s="2"/>
      <c r="D36" s="10"/>
    </row>
    <row r="37" spans="1:6" ht="13.2" customHeight="1">
      <c r="A37" s="43"/>
      <c r="B37" s="9"/>
      <c r="C37" s="2"/>
      <c r="D37" s="62"/>
    </row>
    <row r="38" spans="1:6">
      <c r="A38" s="3" t="s">
        <v>0</v>
      </c>
      <c r="B38" s="2"/>
      <c r="C38" s="20" t="s">
        <v>69</v>
      </c>
      <c r="D38" s="61" t="s">
        <v>70</v>
      </c>
    </row>
    <row r="39" spans="1:6">
      <c r="A39" s="22" t="s">
        <v>71</v>
      </c>
      <c r="B39" s="22" t="s">
        <v>68</v>
      </c>
      <c r="C39" s="21" t="s">
        <v>441</v>
      </c>
      <c r="D39" s="56" t="s">
        <v>3</v>
      </c>
    </row>
    <row r="40" spans="1:6">
      <c r="A40" s="3"/>
      <c r="B40" s="3" t="s">
        <v>4</v>
      </c>
      <c r="C40" s="60" t="s">
        <v>5</v>
      </c>
      <c r="D40" s="59" t="s">
        <v>6</v>
      </c>
    </row>
    <row r="41" spans="1:6">
      <c r="A41" s="3"/>
      <c r="B41" s="7"/>
      <c r="C41" s="5"/>
      <c r="D41" s="63"/>
    </row>
    <row r="42" spans="1:6" hidden="1">
      <c r="A42" s="19">
        <v>16</v>
      </c>
      <c r="B42" s="54" t="s">
        <v>424</v>
      </c>
      <c r="C42" s="18">
        <v>3.65</v>
      </c>
      <c r="D42" s="10">
        <v>0.12</v>
      </c>
    </row>
    <row r="43" spans="1:6">
      <c r="A43" s="19">
        <v>17</v>
      </c>
      <c r="B43" s="54" t="s">
        <v>442</v>
      </c>
      <c r="C43" s="18">
        <v>23.420829999999999</v>
      </c>
      <c r="D43" s="10">
        <v>0.77</v>
      </c>
    </row>
    <row r="44" spans="1:6">
      <c r="A44" s="19"/>
      <c r="B44" s="54" t="s">
        <v>443</v>
      </c>
      <c r="C44" s="18"/>
      <c r="D44" s="10"/>
      <c r="E44" s="462"/>
      <c r="F44" s="463"/>
    </row>
    <row r="45" spans="1:6">
      <c r="A45" s="19"/>
      <c r="B45" s="54" t="s">
        <v>427</v>
      </c>
      <c r="C45" s="18"/>
      <c r="D45" s="10"/>
      <c r="E45" s="462"/>
      <c r="F45" s="463"/>
    </row>
    <row r="46" spans="1:6">
      <c r="A46" s="19"/>
      <c r="B46" s="54"/>
      <c r="C46" s="18"/>
      <c r="D46" s="10"/>
      <c r="E46" s="462"/>
      <c r="F46" s="463"/>
    </row>
    <row r="47" spans="1:6">
      <c r="A47" s="19">
        <v>18</v>
      </c>
      <c r="B47" s="54" t="s">
        <v>436</v>
      </c>
      <c r="C47" s="18">
        <v>26.462499999999999</v>
      </c>
      <c r="D47" s="10">
        <v>0.87</v>
      </c>
      <c r="E47" s="462"/>
      <c r="F47" s="463"/>
    </row>
    <row r="48" spans="1:6">
      <c r="A48" s="19"/>
      <c r="B48" s="54" t="s">
        <v>428</v>
      </c>
      <c r="C48" s="18"/>
      <c r="D48" s="10"/>
      <c r="E48" s="462"/>
      <c r="F48" s="463"/>
    </row>
    <row r="49" spans="1:6">
      <c r="A49" s="19"/>
      <c r="B49" s="54"/>
      <c r="C49" s="18"/>
      <c r="D49" s="10"/>
      <c r="E49" s="462"/>
      <c r="F49" s="463"/>
    </row>
    <row r="50" spans="1:6">
      <c r="A50" s="19">
        <v>19</v>
      </c>
      <c r="B50" s="54" t="s">
        <v>437</v>
      </c>
      <c r="C50" s="18">
        <v>28.89583</v>
      </c>
      <c r="D50" s="10">
        <v>0.95</v>
      </c>
      <c r="E50" s="462"/>
      <c r="F50" s="463"/>
    </row>
    <row r="51" spans="1:6">
      <c r="A51" s="19"/>
      <c r="B51" s="54" t="s">
        <v>429</v>
      </c>
      <c r="C51" s="18"/>
      <c r="D51" s="10"/>
      <c r="E51" s="462"/>
      <c r="F51" s="463"/>
    </row>
    <row r="52" spans="1:6">
      <c r="A52" s="19"/>
      <c r="B52" s="54"/>
      <c r="C52" s="18"/>
      <c r="D52" s="10"/>
      <c r="E52" s="462"/>
      <c r="F52" s="463"/>
    </row>
    <row r="53" spans="1:6">
      <c r="A53" s="19">
        <v>20</v>
      </c>
      <c r="B53" s="54" t="s">
        <v>438</v>
      </c>
      <c r="C53" s="18">
        <v>30.41667</v>
      </c>
      <c r="D53" s="10">
        <v>1</v>
      </c>
      <c r="E53" s="462"/>
      <c r="F53" s="463"/>
    </row>
    <row r="54" spans="1:6">
      <c r="A54" s="19"/>
      <c r="B54" s="54" t="s">
        <v>430</v>
      </c>
      <c r="C54" s="18"/>
      <c r="D54" s="10"/>
      <c r="E54" s="462"/>
      <c r="F54" s="463"/>
    </row>
    <row r="55" spans="1:6">
      <c r="A55" s="19"/>
      <c r="B55" s="54"/>
      <c r="C55" s="18"/>
      <c r="D55" s="10"/>
      <c r="E55" s="462"/>
      <c r="F55" s="463"/>
    </row>
    <row r="56" spans="1:6">
      <c r="A56" s="19">
        <v>21</v>
      </c>
      <c r="B56" s="54" t="s">
        <v>439</v>
      </c>
      <c r="C56" s="18">
        <v>31.633330000000001</v>
      </c>
      <c r="D56" s="10">
        <v>1.04</v>
      </c>
      <c r="E56" s="462"/>
      <c r="F56" s="463"/>
    </row>
    <row r="57" spans="1:6">
      <c r="A57" s="19"/>
      <c r="B57" s="54" t="s">
        <v>431</v>
      </c>
      <c r="C57" s="18"/>
      <c r="D57" s="10"/>
      <c r="E57" s="462"/>
      <c r="F57" s="463"/>
    </row>
    <row r="58" spans="1:6">
      <c r="A58" s="19"/>
      <c r="B58" s="54"/>
      <c r="C58" s="18"/>
      <c r="D58" s="10"/>
      <c r="E58" s="462"/>
      <c r="F58" s="463"/>
    </row>
    <row r="59" spans="1:6">
      <c r="A59" s="19">
        <v>22</v>
      </c>
      <c r="B59" s="54" t="s">
        <v>440</v>
      </c>
      <c r="C59" s="18">
        <v>31.9375</v>
      </c>
      <c r="D59" s="10">
        <v>1.05</v>
      </c>
      <c r="E59" s="462"/>
      <c r="F59" s="463"/>
    </row>
    <row r="60" spans="1:6">
      <c r="A60" s="19"/>
      <c r="B60" s="54" t="s">
        <v>432</v>
      </c>
      <c r="C60" s="18"/>
      <c r="D60" s="10"/>
      <c r="E60" s="462"/>
      <c r="F60" s="463"/>
    </row>
    <row r="61" spans="1:6">
      <c r="A61" s="19"/>
      <c r="B61" s="54"/>
      <c r="C61" s="18"/>
      <c r="D61" s="10"/>
      <c r="E61" s="462"/>
      <c r="F61" s="463"/>
    </row>
    <row r="62" spans="1:6">
      <c r="A62" s="26" t="s">
        <v>83</v>
      </c>
      <c r="B62" s="47" t="s">
        <v>426</v>
      </c>
      <c r="C62" s="18"/>
      <c r="D62" s="10"/>
      <c r="E62" s="462"/>
      <c r="F62" s="463"/>
    </row>
    <row r="63" spans="1:6">
      <c r="A63" s="26"/>
      <c r="B63" t="s">
        <v>433</v>
      </c>
      <c r="C63" s="18"/>
      <c r="D63" s="10"/>
      <c r="E63" s="462"/>
      <c r="F63" s="463"/>
    </row>
    <row r="64" spans="1:6">
      <c r="A64" s="26"/>
      <c r="B64" s="469" t="s">
        <v>434</v>
      </c>
      <c r="C64" s="266"/>
      <c r="D64" s="266"/>
      <c r="E64" s="266"/>
    </row>
    <row r="65" spans="1:6">
      <c r="A65" s="26"/>
      <c r="B65" s="469"/>
      <c r="C65" s="266"/>
      <c r="D65" s="266"/>
      <c r="E65" s="462"/>
      <c r="F65" s="463"/>
    </row>
    <row r="66" spans="1:6">
      <c r="A66" s="26"/>
      <c r="B66" s="47"/>
      <c r="C66" s="266"/>
      <c r="D66" s="266"/>
      <c r="E66" s="462"/>
      <c r="F66" s="463"/>
    </row>
    <row r="67" spans="1:6">
      <c r="A67" s="26"/>
      <c r="B67" s="47"/>
      <c r="C67" s="18"/>
      <c r="D67" s="10"/>
      <c r="E67" s="462"/>
      <c r="F67" s="463"/>
    </row>
    <row r="68" spans="1:6">
      <c r="A68" s="19"/>
      <c r="B68" s="54"/>
      <c r="C68" s="18"/>
      <c r="D68" s="18"/>
      <c r="E68" s="2"/>
      <c r="F68" s="2"/>
    </row>
    <row r="69" spans="1:6">
      <c r="A69" s="43" t="s">
        <v>95</v>
      </c>
      <c r="B69" s="9"/>
      <c r="C69" s="2"/>
      <c r="D69" s="10"/>
      <c r="E69" s="2"/>
      <c r="F69" s="2"/>
    </row>
    <row r="70" spans="1:6">
      <c r="A70" s="43"/>
      <c r="B70" s="9"/>
      <c r="C70" s="2"/>
      <c r="D70" s="62"/>
      <c r="E70" s="457"/>
      <c r="F70" s="457" t="s">
        <v>70</v>
      </c>
    </row>
    <row r="71" spans="1:6" ht="26.4">
      <c r="A71" s="3" t="s">
        <v>0</v>
      </c>
      <c r="B71" s="2"/>
      <c r="C71" s="20" t="s">
        <v>69</v>
      </c>
      <c r="D71" s="61" t="s">
        <v>70</v>
      </c>
      <c r="E71" s="458" t="s">
        <v>409</v>
      </c>
      <c r="F71" s="458" t="s">
        <v>409</v>
      </c>
    </row>
    <row r="72" spans="1:6">
      <c r="A72" s="22" t="s">
        <v>71</v>
      </c>
      <c r="B72" s="22" t="s">
        <v>68</v>
      </c>
      <c r="C72" s="459" t="s">
        <v>410</v>
      </c>
      <c r="D72" s="56" t="s">
        <v>3</v>
      </c>
      <c r="E72" s="459" t="s">
        <v>410</v>
      </c>
      <c r="F72" s="459" t="s">
        <v>3</v>
      </c>
    </row>
    <row r="73" spans="1:6">
      <c r="A73" s="3"/>
      <c r="B73" s="3" t="s">
        <v>4</v>
      </c>
      <c r="C73" s="60" t="s">
        <v>5</v>
      </c>
      <c r="D73" s="59" t="s">
        <v>6</v>
      </c>
      <c r="E73" s="460" t="s">
        <v>7</v>
      </c>
      <c r="F73" s="461" t="s">
        <v>8</v>
      </c>
    </row>
    <row r="74" spans="1:6">
      <c r="A74" s="19"/>
      <c r="B74" s="47"/>
      <c r="C74" s="18"/>
      <c r="D74" s="10"/>
      <c r="E74" s="2"/>
      <c r="F74" s="2"/>
    </row>
    <row r="75" spans="1:6">
      <c r="A75" s="19">
        <v>1</v>
      </c>
      <c r="B75" s="47" t="s">
        <v>65</v>
      </c>
      <c r="C75" s="18">
        <v>13.02633</v>
      </c>
      <c r="D75" s="18">
        <v>0.42825999999999997</v>
      </c>
      <c r="E75" s="462">
        <v>0.68925999999999998</v>
      </c>
      <c r="F75" s="463">
        <v>2.266E-2</v>
      </c>
    </row>
    <row r="76" spans="1:6">
      <c r="A76" s="58"/>
      <c r="B76" s="52"/>
      <c r="C76" s="52"/>
      <c r="D76" s="464"/>
      <c r="E76" s="52"/>
      <c r="F76" s="52"/>
    </row>
    <row r="77" spans="1:6">
      <c r="A77" s="470" t="s">
        <v>94</v>
      </c>
      <c r="B77" s="470"/>
      <c r="C77" s="2"/>
      <c r="D77" s="35"/>
      <c r="E77" s="52"/>
      <c r="F77" s="2"/>
    </row>
    <row r="78" spans="1:6">
      <c r="A78" s="19"/>
      <c r="B78" s="28"/>
      <c r="C78" s="2"/>
      <c r="D78" s="35"/>
      <c r="E78" s="52"/>
      <c r="F78" s="2"/>
    </row>
    <row r="79" spans="1:6">
      <c r="A79" s="3" t="s">
        <v>0</v>
      </c>
      <c r="B79" s="28"/>
      <c r="C79" s="20" t="s">
        <v>69</v>
      </c>
      <c r="D79" s="57" t="s">
        <v>70</v>
      </c>
      <c r="E79" s="52"/>
      <c r="F79" s="2"/>
    </row>
    <row r="80" spans="1:6">
      <c r="A80" s="22" t="s">
        <v>71</v>
      </c>
      <c r="B80" s="22" t="s">
        <v>68</v>
      </c>
      <c r="C80" s="459" t="s">
        <v>410</v>
      </c>
      <c r="D80" s="56" t="s">
        <v>3</v>
      </c>
      <c r="E80" s="52"/>
      <c r="F80" s="2"/>
    </row>
    <row r="81" spans="1:6">
      <c r="A81" s="26"/>
      <c r="B81" s="26" t="s">
        <v>4</v>
      </c>
      <c r="C81" s="26" t="s">
        <v>5</v>
      </c>
      <c r="D81" s="53" t="s">
        <v>6</v>
      </c>
      <c r="E81" s="52"/>
      <c r="F81" s="47"/>
    </row>
    <row r="82" spans="1:6">
      <c r="A82" s="26"/>
      <c r="B82" s="54"/>
      <c r="C82" s="47"/>
      <c r="D82" s="50"/>
      <c r="E82" s="52"/>
      <c r="F82" s="47"/>
    </row>
    <row r="83" spans="1:6">
      <c r="A83" s="55">
        <v>2</v>
      </c>
      <c r="B83" s="54" t="s">
        <v>93</v>
      </c>
      <c r="C83" s="18">
        <v>1.01227</v>
      </c>
      <c r="D83" s="33">
        <v>3.3279999999999997E-2</v>
      </c>
      <c r="E83" s="52"/>
      <c r="F83" s="47"/>
    </row>
    <row r="84" spans="1:6">
      <c r="A84" s="55"/>
      <c r="B84" s="54"/>
      <c r="C84" s="18"/>
      <c r="D84" s="53"/>
      <c r="E84" s="52"/>
      <c r="F84" s="33"/>
    </row>
    <row r="85" spans="1:6">
      <c r="A85" s="26" t="s">
        <v>83</v>
      </c>
      <c r="B85" s="47" t="s">
        <v>411</v>
      </c>
      <c r="C85" s="47"/>
      <c r="D85" s="50"/>
      <c r="E85" s="47"/>
      <c r="F85" s="47"/>
    </row>
    <row r="86" spans="1:6">
      <c r="A86" s="26"/>
      <c r="B86" s="47" t="s">
        <v>412</v>
      </c>
      <c r="C86" s="47"/>
      <c r="D86" s="50"/>
      <c r="E86" s="47"/>
      <c r="F86" s="47"/>
    </row>
    <row r="87" spans="1:6">
      <c r="A87" s="26"/>
      <c r="B87" s="51" t="s">
        <v>92</v>
      </c>
      <c r="C87" s="51"/>
      <c r="D87" s="50"/>
      <c r="E87" s="47"/>
      <c r="F87" s="47"/>
    </row>
    <row r="88" spans="1:6">
      <c r="A88" s="3"/>
      <c r="B88" s="4"/>
      <c r="C88" s="2"/>
      <c r="D88" s="35"/>
      <c r="E88" s="2"/>
      <c r="F88" s="2"/>
    </row>
    <row r="89" spans="1:6" ht="11.25" customHeight="1">
      <c r="A89" s="12"/>
      <c r="B89" s="11"/>
      <c r="C89" s="2"/>
      <c r="D89" s="44"/>
      <c r="E89" s="15"/>
      <c r="F89" s="15"/>
    </row>
    <row r="90" spans="1:6">
      <c r="A90" s="46" t="s">
        <v>77</v>
      </c>
      <c r="B90" s="11"/>
      <c r="C90" s="2"/>
      <c r="D90" s="44"/>
      <c r="E90" s="15"/>
      <c r="F90" s="15"/>
    </row>
    <row r="91" spans="1:6">
      <c r="A91" s="46"/>
      <c r="B91" s="11"/>
      <c r="C91" s="2"/>
      <c r="D91" s="44"/>
      <c r="E91" s="15"/>
      <c r="F91" s="15"/>
    </row>
    <row r="92" spans="1:6">
      <c r="A92" s="8" t="s">
        <v>0</v>
      </c>
      <c r="B92" s="3"/>
      <c r="C92" s="20" t="s">
        <v>69</v>
      </c>
      <c r="D92" s="10" t="s">
        <v>70</v>
      </c>
      <c r="E92" s="15"/>
      <c r="F92" s="2"/>
    </row>
    <row r="93" spans="1:6">
      <c r="A93" s="45" t="s">
        <v>71</v>
      </c>
      <c r="B93" s="22" t="s">
        <v>68</v>
      </c>
      <c r="C93" s="459" t="s">
        <v>410</v>
      </c>
      <c r="D93" s="40" t="s">
        <v>3</v>
      </c>
      <c r="E93" s="15"/>
      <c r="F93" s="4"/>
    </row>
    <row r="94" spans="1:6">
      <c r="A94" s="8"/>
      <c r="B94" s="3" t="s">
        <v>4</v>
      </c>
      <c r="C94" s="18" t="s">
        <v>5</v>
      </c>
      <c r="D94" s="10" t="s">
        <v>6</v>
      </c>
      <c r="E94" s="15"/>
      <c r="F94" s="4"/>
    </row>
    <row r="95" spans="1:6">
      <c r="A95" s="12"/>
      <c r="B95" s="11"/>
      <c r="C95" s="15"/>
      <c r="D95" s="44"/>
      <c r="E95" s="15"/>
      <c r="F95" s="2"/>
    </row>
    <row r="96" spans="1:6">
      <c r="A96" s="19">
        <v>3</v>
      </c>
      <c r="B96" s="11" t="s">
        <v>77</v>
      </c>
      <c r="C96" s="18">
        <v>0.10724</v>
      </c>
      <c r="D96" s="18">
        <v>3.5300000000000002E-3</v>
      </c>
      <c r="E96" s="15"/>
      <c r="F96" s="2"/>
    </row>
    <row r="97" spans="1:6">
      <c r="A97" s="19"/>
      <c r="B97" s="11"/>
      <c r="C97" s="2"/>
      <c r="D97" s="10"/>
      <c r="E97" s="15"/>
      <c r="F97" s="18"/>
    </row>
    <row r="98" spans="1:6">
      <c r="A98" s="43" t="s">
        <v>90</v>
      </c>
      <c r="B98" s="9"/>
      <c r="C98" s="9"/>
      <c r="D98" s="35"/>
      <c r="E98" s="9"/>
      <c r="F98" s="9"/>
    </row>
    <row r="99" spans="1:6">
      <c r="A99" s="43"/>
      <c r="B99" s="9"/>
      <c r="C99" s="9"/>
      <c r="D99" s="35"/>
      <c r="E99" s="9"/>
      <c r="F99" s="9"/>
    </row>
    <row r="100" spans="1:6">
      <c r="A100" s="42" t="s">
        <v>0</v>
      </c>
      <c r="B100" s="31"/>
      <c r="C100" s="20" t="s">
        <v>69</v>
      </c>
      <c r="D100" s="10" t="s">
        <v>70</v>
      </c>
      <c r="E100" s="2"/>
      <c r="F100" s="2"/>
    </row>
    <row r="101" spans="1:6">
      <c r="A101" s="41" t="s">
        <v>2</v>
      </c>
      <c r="B101" s="41" t="s">
        <v>68</v>
      </c>
      <c r="C101" s="459" t="s">
        <v>410</v>
      </c>
      <c r="D101" s="40" t="s">
        <v>3</v>
      </c>
      <c r="E101" s="2"/>
      <c r="F101" s="2"/>
    </row>
    <row r="102" spans="1:6">
      <c r="A102" s="9"/>
      <c r="B102" s="3" t="s">
        <v>4</v>
      </c>
      <c r="C102" s="39" t="s">
        <v>5</v>
      </c>
      <c r="D102" s="10" t="s">
        <v>6</v>
      </c>
      <c r="E102" s="2"/>
      <c r="F102" s="2"/>
    </row>
    <row r="103" spans="1:6" ht="11.25" customHeight="1">
      <c r="A103" s="36"/>
      <c r="B103" s="37"/>
      <c r="C103" s="36"/>
      <c r="D103" s="35"/>
      <c r="E103" s="2"/>
      <c r="F103" s="2"/>
    </row>
    <row r="104" spans="1:6">
      <c r="A104" s="34">
        <v>4</v>
      </c>
      <c r="B104" s="30" t="s">
        <v>89</v>
      </c>
      <c r="C104" s="9">
        <v>3.4200499999999998</v>
      </c>
      <c r="D104" s="32">
        <v>0.1124</v>
      </c>
      <c r="E104" s="14"/>
      <c r="F104" s="2"/>
    </row>
    <row r="105" spans="1:6" ht="12.75" customHeight="1">
      <c r="A105" s="31"/>
      <c r="B105" s="30"/>
      <c r="C105" s="9"/>
      <c r="D105" s="32"/>
      <c r="E105" s="23"/>
      <c r="F105" s="9"/>
    </row>
    <row r="106" spans="1:6">
      <c r="A106" s="31" t="s">
        <v>83</v>
      </c>
      <c r="B106" s="30" t="s">
        <v>88</v>
      </c>
      <c r="E106" s="23"/>
      <c r="F106" s="9"/>
    </row>
    <row r="107" spans="1:6" ht="12" customHeight="1">
      <c r="A107" s="31"/>
      <c r="B107" s="30"/>
      <c r="C107" s="9"/>
      <c r="D107" s="23"/>
      <c r="E107" s="23"/>
      <c r="F107" s="9"/>
    </row>
    <row r="108" spans="1:6">
      <c r="A108" s="29" t="s">
        <v>87</v>
      </c>
      <c r="B108" s="4"/>
      <c r="C108" s="2"/>
      <c r="D108" s="2"/>
      <c r="E108" s="2"/>
      <c r="F108" s="2"/>
    </row>
    <row r="109" spans="1:6">
      <c r="A109" s="29"/>
      <c r="B109" s="4"/>
      <c r="C109" s="2"/>
      <c r="D109" s="2"/>
      <c r="E109" s="2"/>
      <c r="F109" s="2"/>
    </row>
    <row r="110" spans="1:6">
      <c r="A110" s="3" t="s">
        <v>0</v>
      </c>
      <c r="B110" s="28"/>
      <c r="C110" s="27" t="s">
        <v>86</v>
      </c>
      <c r="D110" s="20"/>
      <c r="E110" s="20"/>
      <c r="F110" s="2"/>
    </row>
    <row r="111" spans="1:6">
      <c r="A111" s="22" t="s">
        <v>71</v>
      </c>
      <c r="B111" s="22" t="s">
        <v>68</v>
      </c>
      <c r="C111" s="21" t="s">
        <v>82</v>
      </c>
      <c r="D111" s="17"/>
      <c r="E111" s="17"/>
      <c r="F111" s="4"/>
    </row>
    <row r="112" spans="1:6">
      <c r="A112" s="3"/>
      <c r="B112" s="5" t="s">
        <v>4</v>
      </c>
      <c r="C112" s="3" t="s">
        <v>5</v>
      </c>
      <c r="D112" s="5"/>
      <c r="E112" s="5"/>
      <c r="F112" s="4"/>
    </row>
    <row r="113" spans="1:6">
      <c r="A113" s="3"/>
      <c r="B113" s="5"/>
      <c r="C113" s="26"/>
      <c r="D113" s="3"/>
      <c r="E113" s="3"/>
      <c r="F113" s="2"/>
    </row>
    <row r="114" spans="1:6">
      <c r="A114" s="19">
        <v>5</v>
      </c>
      <c r="B114" s="9" t="s">
        <v>85</v>
      </c>
      <c r="C114" s="18">
        <v>1.52481</v>
      </c>
      <c r="D114" s="2"/>
      <c r="E114" s="2"/>
      <c r="F114" s="2"/>
    </row>
    <row r="115" spans="1:6">
      <c r="A115" s="19">
        <v>6</v>
      </c>
      <c r="B115" s="9" t="s">
        <v>84</v>
      </c>
      <c r="C115" s="18">
        <v>0.41865000000000002</v>
      </c>
      <c r="D115" s="2"/>
      <c r="E115" s="2"/>
      <c r="F115" s="2"/>
    </row>
    <row r="116" spans="1:6">
      <c r="A116" s="3"/>
      <c r="B116" s="4"/>
      <c r="C116" s="2"/>
      <c r="D116" s="2"/>
      <c r="E116" s="2"/>
      <c r="F116" s="2"/>
    </row>
    <row r="117" spans="1:6">
      <c r="A117" s="9" t="s">
        <v>83</v>
      </c>
      <c r="B117" s="9" t="s">
        <v>413</v>
      </c>
      <c r="C117" s="2"/>
      <c r="D117" s="2"/>
      <c r="E117" s="2"/>
      <c r="F117" s="2"/>
    </row>
    <row r="118" spans="1:6">
      <c r="A118" s="9"/>
      <c r="B118" s="25" t="s">
        <v>414</v>
      </c>
      <c r="C118" s="2"/>
      <c r="D118" s="2"/>
      <c r="E118" s="2"/>
      <c r="F118" s="2"/>
    </row>
    <row r="119" spans="1:6">
      <c r="A119" s="9"/>
      <c r="B119" s="9" t="s">
        <v>415</v>
      </c>
      <c r="C119" s="2"/>
      <c r="D119" s="2"/>
      <c r="E119" s="2"/>
      <c r="F119" s="2"/>
    </row>
    <row r="120" spans="1:6">
      <c r="A120" s="9"/>
      <c r="B120" s="9" t="s">
        <v>416</v>
      </c>
      <c r="C120" s="2"/>
      <c r="D120" s="2"/>
      <c r="E120" s="2"/>
      <c r="F120" s="2"/>
    </row>
    <row r="1967" ht="48.75" customHeight="1"/>
  </sheetData>
  <mergeCells count="1">
    <mergeCell ref="A77:B77"/>
  </mergeCells>
  <pageMargins left="1.2" right="0.95" top="0.75" bottom="0.5" header="0.55000000000000004" footer="0.3"/>
  <pageSetup scale="60" fitToHeight="2" orientation="portrait" r:id="rId1"/>
  <headerFooter>
    <oddHeader>&amp;R&amp;"Arial,Regular"&amp;10Page &amp;P of 29</oddHeader>
  </headerFooter>
  <rowBreaks count="1" manualBreakCount="1">
    <brk id="67"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8"/>
  <sheetViews>
    <sheetView tabSelected="1" view="pageBreakPreview" zoomScale="85" zoomScaleNormal="100" zoomScaleSheetLayoutView="85" workbookViewId="0">
      <selection activeCell="H20" sqref="H20"/>
    </sheetView>
  </sheetViews>
  <sheetFormatPr defaultColWidth="9.109375" defaultRowHeight="14.4"/>
  <cols>
    <col min="1" max="1" width="3" style="1" customWidth="1"/>
    <col min="2" max="2" width="12.5546875" style="1" customWidth="1"/>
    <col min="3" max="3" width="32.109375" style="1" customWidth="1"/>
    <col min="4" max="4" width="29.44140625" style="1" customWidth="1"/>
    <col min="5" max="5" width="16.5546875" style="1" bestFit="1" customWidth="1"/>
    <col min="6" max="6" width="22.5546875" style="1" bestFit="1" customWidth="1"/>
    <col min="7" max="7" width="26.88671875" style="1" bestFit="1" customWidth="1"/>
    <col min="8" max="8" width="25.6640625" style="1" customWidth="1"/>
    <col min="9" max="16384" width="9.109375" style="1"/>
  </cols>
  <sheetData>
    <row r="1" spans="1:8" ht="15.6">
      <c r="A1" s="66" t="s">
        <v>96</v>
      </c>
      <c r="B1" s="76" t="s">
        <v>418</v>
      </c>
      <c r="C1" s="77"/>
      <c r="D1" s="456"/>
      <c r="E1" s="77"/>
      <c r="F1" s="69"/>
      <c r="G1" s="69"/>
      <c r="H1" s="69"/>
    </row>
    <row r="2" spans="1:8" ht="15.6">
      <c r="A2" s="66"/>
      <c r="B2" s="76" t="s">
        <v>444</v>
      </c>
      <c r="C2" s="77"/>
      <c r="D2" s="456"/>
      <c r="E2" s="77"/>
      <c r="F2" s="69"/>
      <c r="G2" s="69"/>
      <c r="H2" s="69"/>
    </row>
    <row r="3" spans="1:8" ht="15.6">
      <c r="A3" s="66"/>
      <c r="B3" s="77" t="s">
        <v>419</v>
      </c>
      <c r="C3" s="456"/>
      <c r="D3" s="456"/>
      <c r="E3" s="456"/>
      <c r="F3" s="69"/>
      <c r="G3" s="69"/>
      <c r="H3" s="69"/>
    </row>
    <row r="4" spans="1:8" ht="15.6">
      <c r="A4" s="66"/>
      <c r="B4" s="82" t="s">
        <v>425</v>
      </c>
      <c r="C4" s="454"/>
      <c r="D4" s="454"/>
      <c r="E4" s="454"/>
      <c r="F4" s="69"/>
      <c r="G4" s="69"/>
      <c r="H4" s="69"/>
    </row>
    <row r="5" spans="1:8" ht="15.6">
      <c r="A5" s="66" t="s">
        <v>96</v>
      </c>
      <c r="B5" s="69"/>
      <c r="C5" s="69"/>
      <c r="D5" s="69"/>
      <c r="E5" s="69"/>
      <c r="F5" s="69"/>
      <c r="G5" s="69"/>
      <c r="H5" s="69"/>
    </row>
    <row r="6" spans="1:8" ht="35.25" customHeight="1">
      <c r="A6" s="66" t="s">
        <v>96</v>
      </c>
      <c r="B6" s="68" t="s">
        <v>44</v>
      </c>
      <c r="C6" s="471" t="s">
        <v>288</v>
      </c>
      <c r="D6" s="471"/>
      <c r="E6" s="471"/>
      <c r="F6" s="471"/>
      <c r="G6" s="471"/>
      <c r="H6" s="471"/>
    </row>
    <row r="7" spans="1:8" ht="46.5" customHeight="1">
      <c r="A7" s="66" t="s">
        <v>96</v>
      </c>
      <c r="B7" s="81"/>
      <c r="C7" s="471" t="s">
        <v>289</v>
      </c>
      <c r="D7" s="471"/>
      <c r="E7" s="471"/>
      <c r="F7" s="471"/>
      <c r="G7" s="471"/>
      <c r="H7" s="471"/>
    </row>
    <row r="8" spans="1:8" ht="18" customHeight="1">
      <c r="A8" s="66" t="s">
        <v>96</v>
      </c>
      <c r="B8" s="81"/>
      <c r="C8" s="471" t="s">
        <v>290</v>
      </c>
      <c r="D8" s="471"/>
      <c r="E8" s="471"/>
      <c r="F8" s="471"/>
      <c r="G8" s="471"/>
      <c r="H8" s="455"/>
    </row>
    <row r="9" spans="1:8" ht="33.75" customHeight="1">
      <c r="A9" s="66"/>
      <c r="B9" s="81"/>
      <c r="C9" s="471" t="s">
        <v>291</v>
      </c>
      <c r="D9" s="471"/>
      <c r="E9" s="471"/>
      <c r="F9" s="471"/>
      <c r="G9" s="471"/>
      <c r="H9" s="471"/>
    </row>
    <row r="10" spans="1:8" ht="62.25" customHeight="1">
      <c r="A10" s="66"/>
      <c r="B10" s="67"/>
      <c r="C10" s="471" t="s">
        <v>420</v>
      </c>
      <c r="D10" s="471"/>
      <c r="E10" s="471"/>
      <c r="F10" s="471"/>
      <c r="G10" s="471"/>
      <c r="H10" s="471"/>
    </row>
    <row r="11" spans="1:8" ht="33" customHeight="1">
      <c r="A11" s="66" t="s">
        <v>96</v>
      </c>
      <c r="B11" s="80"/>
      <c r="C11" s="474" t="s">
        <v>417</v>
      </c>
      <c r="D11" s="474"/>
      <c r="E11" s="474"/>
      <c r="F11" s="474"/>
      <c r="G11" s="474"/>
      <c r="H11" s="474"/>
    </row>
    <row r="12" spans="1:8" ht="30" customHeight="1">
      <c r="A12" s="66"/>
      <c r="B12" s="80"/>
      <c r="C12" s="455"/>
      <c r="D12" s="455"/>
      <c r="E12" s="455"/>
      <c r="F12" s="455"/>
      <c r="G12" s="455"/>
      <c r="H12" s="455"/>
    </row>
    <row r="13" spans="1:8" ht="15.6">
      <c r="A13" s="66" t="s">
        <v>96</v>
      </c>
      <c r="B13" s="79"/>
      <c r="C13" s="78"/>
      <c r="D13" s="77"/>
      <c r="E13" s="353"/>
      <c r="F13" s="465" t="s">
        <v>46</v>
      </c>
      <c r="G13" s="465"/>
      <c r="H13" s="465" t="s">
        <v>70</v>
      </c>
    </row>
    <row r="14" spans="1:8">
      <c r="A14" s="66" t="s">
        <v>96</v>
      </c>
      <c r="B14" s="466" t="s">
        <v>0</v>
      </c>
      <c r="C14" s="354"/>
      <c r="D14" s="354"/>
      <c r="E14" s="353" t="s">
        <v>47</v>
      </c>
      <c r="F14" s="465" t="s">
        <v>48</v>
      </c>
      <c r="G14" s="465" t="s">
        <v>409</v>
      </c>
      <c r="H14" s="465" t="s">
        <v>409</v>
      </c>
    </row>
    <row r="15" spans="1:8">
      <c r="A15" s="66" t="s">
        <v>96</v>
      </c>
      <c r="B15" s="352" t="s">
        <v>2</v>
      </c>
      <c r="C15" s="351" t="s">
        <v>49</v>
      </c>
      <c r="D15" s="351" t="s">
        <v>50</v>
      </c>
      <c r="E15" s="350" t="s">
        <v>410</v>
      </c>
      <c r="F15" s="349" t="s">
        <v>3</v>
      </c>
      <c r="G15" s="467" t="s">
        <v>410</v>
      </c>
      <c r="H15" s="467" t="s">
        <v>3</v>
      </c>
    </row>
    <row r="16" spans="1:8" ht="15.6">
      <c r="A16" s="468" t="s">
        <v>445</v>
      </c>
      <c r="B16" s="67">
        <v>1</v>
      </c>
      <c r="C16" s="73" t="s">
        <v>12</v>
      </c>
      <c r="D16" s="75" t="s">
        <v>12</v>
      </c>
      <c r="E16" s="70">
        <v>2.82084</v>
      </c>
      <c r="F16" s="74">
        <v>9.2700000000000005E-2</v>
      </c>
      <c r="G16" s="70">
        <v>3.261E-2</v>
      </c>
      <c r="H16" s="74">
        <v>1.1000000000000001E-3</v>
      </c>
    </row>
    <row r="17" spans="1:8" ht="15.6">
      <c r="A17" s="468" t="s">
        <v>446</v>
      </c>
      <c r="B17" s="67">
        <v>2</v>
      </c>
      <c r="C17" s="73" t="s">
        <v>12</v>
      </c>
      <c r="D17" s="75" t="s">
        <v>51</v>
      </c>
      <c r="E17" s="70">
        <v>10.140610000000001</v>
      </c>
      <c r="F17" s="74">
        <v>0.33339999999999997</v>
      </c>
      <c r="G17" s="70">
        <v>0.91566999999999998</v>
      </c>
      <c r="H17" s="74">
        <v>3.0099999999999998E-2</v>
      </c>
    </row>
    <row r="18" spans="1:8" ht="15.6">
      <c r="A18" s="468" t="s">
        <v>447</v>
      </c>
      <c r="B18" s="67">
        <v>3</v>
      </c>
      <c r="C18" s="73" t="s">
        <v>12</v>
      </c>
      <c r="D18" s="71" t="s">
        <v>13</v>
      </c>
      <c r="E18" s="70">
        <v>13.139699999999999</v>
      </c>
      <c r="F18" s="74">
        <v>0.432</v>
      </c>
      <c r="G18" s="70">
        <v>1.27746</v>
      </c>
      <c r="H18" s="74">
        <v>4.2000000000000003E-2</v>
      </c>
    </row>
    <row r="19" spans="1:8" ht="15.6">
      <c r="A19" s="468" t="s">
        <v>448</v>
      </c>
      <c r="B19" s="67">
        <v>4</v>
      </c>
      <c r="C19" s="73" t="s">
        <v>12</v>
      </c>
      <c r="D19" s="71" t="s">
        <v>9</v>
      </c>
      <c r="E19" s="70">
        <v>17.692460000000001</v>
      </c>
      <c r="F19" s="74">
        <v>0.58169999999999999</v>
      </c>
      <c r="G19" s="70">
        <v>1.8266899999999999</v>
      </c>
      <c r="H19" s="74">
        <v>6.0100000000000001E-2</v>
      </c>
    </row>
    <row r="20" spans="1:8" ht="15.6">
      <c r="A20" s="468" t="s">
        <v>449</v>
      </c>
      <c r="B20" s="67">
        <v>5</v>
      </c>
      <c r="C20" s="73" t="s">
        <v>12</v>
      </c>
      <c r="D20" s="71" t="s">
        <v>14</v>
      </c>
      <c r="E20" s="70">
        <v>19.730989999999998</v>
      </c>
      <c r="F20" s="74">
        <v>0.64870000000000005</v>
      </c>
      <c r="G20" s="70">
        <v>2.0726</v>
      </c>
      <c r="H20" s="74">
        <v>6.8099999999999994E-2</v>
      </c>
    </row>
    <row r="21" spans="1:8" ht="15.6">
      <c r="A21" s="468" t="s">
        <v>450</v>
      </c>
      <c r="B21" s="67">
        <v>6</v>
      </c>
      <c r="C21" s="73" t="s">
        <v>12</v>
      </c>
      <c r="D21" s="71" t="s">
        <v>33</v>
      </c>
      <c r="E21" s="70">
        <v>28.25009</v>
      </c>
      <c r="F21" s="74">
        <v>0.92879999999999996</v>
      </c>
      <c r="G21" s="70">
        <v>3.1003400000000001</v>
      </c>
      <c r="H21" s="74">
        <v>0.1019</v>
      </c>
    </row>
    <row r="22" spans="1:8" ht="15.6">
      <c r="A22" s="468" t="s">
        <v>451</v>
      </c>
      <c r="B22" s="67">
        <v>7</v>
      </c>
      <c r="C22" s="73" t="s">
        <v>12</v>
      </c>
      <c r="D22" s="71" t="s">
        <v>25</v>
      </c>
      <c r="E22" s="70">
        <v>30.758849999999999</v>
      </c>
      <c r="F22" s="74">
        <v>1.0113000000000001</v>
      </c>
      <c r="G22" s="70">
        <v>3.4030100000000001</v>
      </c>
      <c r="H22" s="74">
        <v>0.1119</v>
      </c>
    </row>
    <row r="23" spans="1:8" ht="15.6">
      <c r="A23" s="468" t="s">
        <v>452</v>
      </c>
      <c r="B23" s="67">
        <v>8</v>
      </c>
      <c r="C23" s="73" t="s">
        <v>12</v>
      </c>
      <c r="D23" s="71" t="s">
        <v>31</v>
      </c>
      <c r="E23" s="70">
        <v>43.453249999999997</v>
      </c>
      <c r="F23" s="74">
        <v>1.4286000000000001</v>
      </c>
      <c r="G23" s="70">
        <v>4.9344599999999996</v>
      </c>
      <c r="H23" s="74">
        <v>0.16220000000000001</v>
      </c>
    </row>
    <row r="24" spans="1:8" ht="15.6">
      <c r="A24" s="468" t="s">
        <v>453</v>
      </c>
      <c r="B24" s="67">
        <v>9</v>
      </c>
      <c r="C24" s="73" t="s">
        <v>12</v>
      </c>
      <c r="D24" s="71" t="s">
        <v>45</v>
      </c>
      <c r="E24" s="70">
        <v>36.339700000000001</v>
      </c>
      <c r="F24" s="74">
        <v>1.1947000000000001</v>
      </c>
      <c r="G24" s="70">
        <v>4.0762499999999999</v>
      </c>
      <c r="H24" s="74">
        <v>0.13400000000000001</v>
      </c>
    </row>
    <row r="25" spans="1:8" ht="15.6">
      <c r="A25" s="468" t="s">
        <v>454</v>
      </c>
      <c r="B25" s="67">
        <v>10</v>
      </c>
      <c r="C25" s="73" t="s">
        <v>12</v>
      </c>
      <c r="D25" s="71" t="s">
        <v>27</v>
      </c>
      <c r="E25" s="70">
        <v>40.733089999999997</v>
      </c>
      <c r="F25" s="74">
        <v>1.3391999999999999</v>
      </c>
      <c r="G25" s="70">
        <v>4.6062900000000004</v>
      </c>
      <c r="H25" s="74">
        <v>0.15140000000000001</v>
      </c>
    </row>
    <row r="26" spans="1:8" ht="15.6">
      <c r="A26" s="468" t="s">
        <v>455</v>
      </c>
      <c r="B26" s="67">
        <v>11</v>
      </c>
      <c r="C26" s="73" t="s">
        <v>12</v>
      </c>
      <c r="D26" s="71" t="s">
        <v>21</v>
      </c>
      <c r="E26" s="70">
        <v>44.349330000000002</v>
      </c>
      <c r="F26" s="74">
        <v>1.4581</v>
      </c>
      <c r="G26" s="70">
        <v>5.0425199999999997</v>
      </c>
      <c r="H26" s="74">
        <v>0.1658</v>
      </c>
    </row>
    <row r="27" spans="1:8" ht="15.6">
      <c r="A27" s="468" t="s">
        <v>456</v>
      </c>
      <c r="B27" s="67">
        <v>12</v>
      </c>
      <c r="C27" s="73" t="s">
        <v>12</v>
      </c>
      <c r="D27" s="71" t="s">
        <v>32</v>
      </c>
      <c r="E27" s="70">
        <v>39.412700000000001</v>
      </c>
      <c r="F27" s="74">
        <v>1.2958000000000001</v>
      </c>
      <c r="G27" s="70">
        <v>4.4470000000000001</v>
      </c>
      <c r="H27" s="74">
        <v>0.1462</v>
      </c>
    </row>
    <row r="28" spans="1:8" ht="15.6">
      <c r="A28" s="468" t="s">
        <v>457</v>
      </c>
      <c r="B28" s="67">
        <v>13</v>
      </c>
      <c r="C28" s="73" t="s">
        <v>12</v>
      </c>
      <c r="D28" s="71" t="s">
        <v>30</v>
      </c>
      <c r="E28" s="70">
        <v>52.97945</v>
      </c>
      <c r="F28" s="74">
        <v>1.7418</v>
      </c>
      <c r="G28" s="70">
        <v>5.6445600000000002</v>
      </c>
      <c r="H28" s="74">
        <v>0.18559999999999999</v>
      </c>
    </row>
    <row r="29" spans="1:8" ht="15.6">
      <c r="A29" s="468" t="s">
        <v>458</v>
      </c>
      <c r="B29" s="67">
        <v>14</v>
      </c>
      <c r="C29" s="69" t="s">
        <v>12</v>
      </c>
      <c r="D29" s="71" t="s">
        <v>28</v>
      </c>
      <c r="E29" s="70">
        <v>54.388649999999998</v>
      </c>
      <c r="F29" s="74">
        <v>1.7881</v>
      </c>
      <c r="G29" s="70">
        <v>5.80288</v>
      </c>
      <c r="H29" s="74">
        <v>0.1908</v>
      </c>
    </row>
    <row r="30" spans="1:8" ht="15.6">
      <c r="A30" s="468" t="s">
        <v>459</v>
      </c>
      <c r="B30" s="67">
        <v>15</v>
      </c>
      <c r="C30" s="69" t="s">
        <v>12</v>
      </c>
      <c r="D30" s="71" t="s">
        <v>79</v>
      </c>
      <c r="E30" s="70">
        <v>54.69464</v>
      </c>
      <c r="F30" s="74">
        <v>1.7982</v>
      </c>
      <c r="G30" s="70">
        <v>5.8372799999999998</v>
      </c>
      <c r="H30" s="74">
        <v>0.19189999999999999</v>
      </c>
    </row>
    <row r="31" spans="1:8" ht="15.6">
      <c r="A31" s="468" t="s">
        <v>460</v>
      </c>
      <c r="B31" s="67">
        <v>16</v>
      </c>
      <c r="C31" s="73" t="s">
        <v>12</v>
      </c>
      <c r="D31" s="71" t="s">
        <v>29</v>
      </c>
      <c r="E31" s="70">
        <v>58.47513</v>
      </c>
      <c r="F31" s="74">
        <v>1.9225000000000001</v>
      </c>
      <c r="G31" s="70">
        <v>6.2619800000000003</v>
      </c>
      <c r="H31" s="74">
        <v>0.2059</v>
      </c>
    </row>
    <row r="32" spans="1:8" ht="15.6">
      <c r="A32" s="468" t="s">
        <v>461</v>
      </c>
      <c r="B32" s="67">
        <v>17</v>
      </c>
      <c r="C32" s="69" t="s">
        <v>12</v>
      </c>
      <c r="D32" s="71" t="s">
        <v>43</v>
      </c>
      <c r="E32" s="70">
        <v>54.486289999999997</v>
      </c>
      <c r="F32" s="74">
        <v>1.7912999999999999</v>
      </c>
      <c r="G32" s="70">
        <v>5.8138699999999996</v>
      </c>
      <c r="H32" s="74">
        <v>0.19109999999999999</v>
      </c>
    </row>
    <row r="33" spans="1:8" ht="15.6">
      <c r="A33" s="468" t="s">
        <v>462</v>
      </c>
      <c r="B33" s="67">
        <v>18</v>
      </c>
      <c r="C33" s="72" t="s">
        <v>12</v>
      </c>
      <c r="D33" s="355" t="s">
        <v>18</v>
      </c>
      <c r="E33" s="70">
        <v>55.570639999999997</v>
      </c>
      <c r="F33" s="74">
        <v>1.827</v>
      </c>
      <c r="G33" s="70">
        <v>5.9356499999999999</v>
      </c>
      <c r="H33" s="74">
        <v>0.1951</v>
      </c>
    </row>
    <row r="34" spans="1:8" ht="15.6">
      <c r="A34" s="468" t="s">
        <v>463</v>
      </c>
      <c r="B34" s="67">
        <v>19</v>
      </c>
      <c r="C34" s="72" t="s">
        <v>12</v>
      </c>
      <c r="D34" s="355" t="s">
        <v>76</v>
      </c>
      <c r="E34" s="70">
        <v>54.486289999999997</v>
      </c>
      <c r="F34" s="74">
        <v>1.7912999999999999</v>
      </c>
      <c r="G34" s="70">
        <v>5.8138699999999996</v>
      </c>
      <c r="H34" s="74">
        <v>0.19109999999999999</v>
      </c>
    </row>
    <row r="35" spans="1:8" ht="15.6">
      <c r="A35" s="468" t="s">
        <v>464</v>
      </c>
      <c r="B35" s="67">
        <v>20</v>
      </c>
      <c r="C35" s="73" t="s">
        <v>12</v>
      </c>
      <c r="D35" s="71" t="s">
        <v>19</v>
      </c>
      <c r="E35" s="70">
        <v>57.234740000000002</v>
      </c>
      <c r="F35" s="74">
        <v>1.8816999999999999</v>
      </c>
      <c r="G35" s="70">
        <v>6.12263</v>
      </c>
      <c r="H35" s="74">
        <v>0.20130000000000001</v>
      </c>
    </row>
    <row r="36" spans="1:8" ht="15.6">
      <c r="A36" s="468" t="s">
        <v>465</v>
      </c>
      <c r="B36" s="67">
        <v>21</v>
      </c>
      <c r="C36" s="73" t="s">
        <v>12</v>
      </c>
      <c r="D36" s="71" t="s">
        <v>23</v>
      </c>
      <c r="E36" s="70">
        <v>59.66807</v>
      </c>
      <c r="F36" s="74">
        <v>1.9617</v>
      </c>
      <c r="G36" s="70">
        <v>6.39602</v>
      </c>
      <c r="H36" s="74">
        <v>0.21029999999999999</v>
      </c>
    </row>
    <row r="37" spans="1:8" ht="15.6">
      <c r="A37" s="468" t="s">
        <v>466</v>
      </c>
      <c r="B37" s="67">
        <v>22</v>
      </c>
      <c r="C37" s="73" t="s">
        <v>12</v>
      </c>
      <c r="D37" s="71" t="s">
        <v>20</v>
      </c>
      <c r="E37" s="70">
        <v>61.271329999999999</v>
      </c>
      <c r="F37" s="74">
        <v>2.0144000000000002</v>
      </c>
      <c r="G37" s="70">
        <v>6.5761399999999997</v>
      </c>
      <c r="H37" s="74">
        <v>0.2162</v>
      </c>
    </row>
    <row r="38" spans="1:8" ht="15.6">
      <c r="A38" s="468" t="s">
        <v>467</v>
      </c>
      <c r="B38" s="67">
        <v>23</v>
      </c>
      <c r="C38" s="73" t="s">
        <v>12</v>
      </c>
      <c r="D38" s="71" t="s">
        <v>53</v>
      </c>
      <c r="E38" s="70">
        <v>50.375779999999999</v>
      </c>
      <c r="F38" s="74">
        <v>1.6561999999999999</v>
      </c>
      <c r="G38" s="70">
        <v>5.3520599999999998</v>
      </c>
      <c r="H38" s="74">
        <v>0.17599999999999999</v>
      </c>
    </row>
    <row r="39" spans="1:8" ht="15.6">
      <c r="A39" s="468" t="s">
        <v>468</v>
      </c>
      <c r="B39" s="67">
        <v>24</v>
      </c>
      <c r="C39" s="73" t="s">
        <v>12</v>
      </c>
      <c r="D39" s="71" t="s">
        <v>41</v>
      </c>
      <c r="E39" s="70">
        <v>50.310690000000001</v>
      </c>
      <c r="F39" s="74">
        <v>1.6540999999999999</v>
      </c>
      <c r="G39" s="70">
        <v>5.3447300000000002</v>
      </c>
      <c r="H39" s="74">
        <v>0.1757</v>
      </c>
    </row>
    <row r="40" spans="1:8" ht="15.6">
      <c r="A40" s="468" t="s">
        <v>469</v>
      </c>
      <c r="B40" s="67">
        <v>25</v>
      </c>
      <c r="C40" s="73" t="s">
        <v>12</v>
      </c>
      <c r="D40" s="71" t="s">
        <v>36</v>
      </c>
      <c r="E40" s="70">
        <v>55.855339999999998</v>
      </c>
      <c r="F40" s="74">
        <v>1.8363</v>
      </c>
      <c r="G40" s="70">
        <v>5.96767</v>
      </c>
      <c r="H40" s="74">
        <v>0.19620000000000001</v>
      </c>
    </row>
    <row r="41" spans="1:8" ht="15.6">
      <c r="A41" s="468" t="s">
        <v>470</v>
      </c>
      <c r="B41" s="67">
        <v>26</v>
      </c>
      <c r="C41" s="73" t="s">
        <v>12</v>
      </c>
      <c r="D41" s="71" t="s">
        <v>15</v>
      </c>
      <c r="E41" s="70">
        <v>58.209290000000003</v>
      </c>
      <c r="F41" s="74">
        <v>1.9137</v>
      </c>
      <c r="G41" s="70">
        <v>6.2321400000000002</v>
      </c>
      <c r="H41" s="74">
        <v>0.2049</v>
      </c>
    </row>
    <row r="42" spans="1:8" ht="15.6">
      <c r="A42" s="468" t="s">
        <v>471</v>
      </c>
      <c r="B42" s="67">
        <v>27</v>
      </c>
      <c r="C42" s="73" t="s">
        <v>12</v>
      </c>
      <c r="D42" s="71" t="s">
        <v>16</v>
      </c>
      <c r="E42" s="70">
        <v>64.662790000000001</v>
      </c>
      <c r="F42" s="74">
        <v>2.1259000000000001</v>
      </c>
      <c r="G42" s="70">
        <v>6.9572000000000003</v>
      </c>
      <c r="H42" s="74">
        <v>0.22869999999999999</v>
      </c>
    </row>
    <row r="43" spans="1:8" ht="15.6">
      <c r="A43" s="468" t="s">
        <v>472</v>
      </c>
      <c r="B43" s="67">
        <v>28</v>
      </c>
      <c r="C43" s="73" t="s">
        <v>12</v>
      </c>
      <c r="D43" s="71" t="s">
        <v>17</v>
      </c>
      <c r="E43" s="70">
        <v>20.086860000000001</v>
      </c>
      <c r="F43" s="74">
        <v>0.66039999999999999</v>
      </c>
      <c r="G43" s="70">
        <v>2.11557</v>
      </c>
      <c r="H43" s="74">
        <v>6.9599999999999995E-2</v>
      </c>
    </row>
    <row r="44" spans="1:8" ht="15.6">
      <c r="A44" s="468" t="s">
        <v>473</v>
      </c>
      <c r="B44" s="67">
        <v>29</v>
      </c>
      <c r="C44" s="73" t="s">
        <v>12</v>
      </c>
      <c r="D44" s="71" t="s">
        <v>10</v>
      </c>
      <c r="E44" s="70">
        <v>20.086860000000001</v>
      </c>
      <c r="F44" s="74">
        <v>0.66039999999999999</v>
      </c>
      <c r="G44" s="70">
        <v>2.11557</v>
      </c>
      <c r="H44" s="74">
        <v>6.9599999999999995E-2</v>
      </c>
    </row>
    <row r="45" spans="1:8" ht="15.6">
      <c r="A45" s="468" t="s">
        <v>474</v>
      </c>
      <c r="B45" s="67">
        <v>30</v>
      </c>
      <c r="C45" s="73" t="s">
        <v>12</v>
      </c>
      <c r="D45" s="71" t="s">
        <v>22</v>
      </c>
      <c r="E45" s="70">
        <v>57.607039999999998</v>
      </c>
      <c r="F45" s="74">
        <v>1.8938999999999999</v>
      </c>
      <c r="G45" s="70">
        <v>6.1644800000000002</v>
      </c>
      <c r="H45" s="74">
        <v>0.20269999999999999</v>
      </c>
    </row>
    <row r="46" spans="1:8" ht="15.6">
      <c r="A46" s="468" t="s">
        <v>475</v>
      </c>
      <c r="B46" s="67">
        <v>31</v>
      </c>
      <c r="C46" s="73" t="s">
        <v>12</v>
      </c>
      <c r="D46" s="71" t="s">
        <v>35</v>
      </c>
      <c r="E46" s="70">
        <v>53.793999999999997</v>
      </c>
      <c r="F46" s="74">
        <v>1.7685999999999999</v>
      </c>
      <c r="G46" s="70">
        <v>5.7360899999999999</v>
      </c>
      <c r="H46" s="74">
        <v>0.18859999999999999</v>
      </c>
    </row>
    <row r="47" spans="1:8" ht="15.6">
      <c r="A47" s="468" t="s">
        <v>476</v>
      </c>
      <c r="B47" s="67">
        <v>32</v>
      </c>
      <c r="C47" s="73" t="s">
        <v>12</v>
      </c>
      <c r="D47" s="71" t="s">
        <v>24</v>
      </c>
      <c r="E47" s="70">
        <v>60.993020000000001</v>
      </c>
      <c r="F47" s="74">
        <v>2.0053000000000001</v>
      </c>
      <c r="G47" s="70">
        <v>6.5448700000000004</v>
      </c>
      <c r="H47" s="74">
        <v>0.2152</v>
      </c>
    </row>
    <row r="48" spans="1:8" ht="15.6">
      <c r="A48" s="468" t="s">
        <v>477</v>
      </c>
      <c r="B48" s="67">
        <v>33</v>
      </c>
      <c r="C48" s="73" t="s">
        <v>12</v>
      </c>
      <c r="D48" s="71" t="s">
        <v>37</v>
      </c>
      <c r="E48" s="70">
        <v>55.812150000000003</v>
      </c>
      <c r="F48" s="74">
        <v>1.8349</v>
      </c>
      <c r="G48" s="70">
        <v>5.9627999999999997</v>
      </c>
      <c r="H48" s="74">
        <v>0.19600000000000001</v>
      </c>
    </row>
    <row r="49" spans="1:8" ht="15.6">
      <c r="A49" s="468" t="s">
        <v>478</v>
      </c>
      <c r="B49" s="67">
        <v>34</v>
      </c>
      <c r="C49" s="73" t="s">
        <v>12</v>
      </c>
      <c r="D49" s="71" t="s">
        <v>38</v>
      </c>
      <c r="E49" s="70">
        <v>46.379640000000002</v>
      </c>
      <c r="F49" s="74">
        <v>1.5247999999999999</v>
      </c>
      <c r="G49" s="70">
        <v>5.2874699999999999</v>
      </c>
      <c r="H49" s="74">
        <v>0.17380000000000001</v>
      </c>
    </row>
    <row r="50" spans="1:8" ht="15.6">
      <c r="A50" s="468" t="s">
        <v>479</v>
      </c>
      <c r="B50" s="67">
        <v>35</v>
      </c>
      <c r="C50" s="73" t="s">
        <v>12</v>
      </c>
      <c r="D50" s="71" t="s">
        <v>26</v>
      </c>
      <c r="E50" s="70">
        <v>61.309049999999999</v>
      </c>
      <c r="F50" s="74">
        <v>2.0156000000000001</v>
      </c>
      <c r="G50" s="70">
        <v>6.5804099999999996</v>
      </c>
      <c r="H50" s="74">
        <v>0.21629999999999999</v>
      </c>
    </row>
    <row r="51" spans="1:8" ht="15.6">
      <c r="A51" s="468" t="s">
        <v>480</v>
      </c>
      <c r="B51" s="67">
        <v>36</v>
      </c>
      <c r="C51" s="73" t="s">
        <v>12</v>
      </c>
      <c r="D51" s="71" t="s">
        <v>52</v>
      </c>
      <c r="E51" s="70">
        <v>19.730989999999998</v>
      </c>
      <c r="F51" s="74">
        <v>0.64870000000000005</v>
      </c>
      <c r="G51" s="70">
        <v>2.0726</v>
      </c>
      <c r="H51" s="74">
        <v>6.8099999999999994E-2</v>
      </c>
    </row>
    <row r="52" spans="1:8" ht="15.6">
      <c r="A52" s="468" t="s">
        <v>481</v>
      </c>
      <c r="B52" s="67">
        <v>37</v>
      </c>
      <c r="C52" s="73" t="s">
        <v>12</v>
      </c>
      <c r="D52" s="71" t="s">
        <v>40</v>
      </c>
      <c r="E52" s="70">
        <v>46.513170000000002</v>
      </c>
      <c r="F52" s="74">
        <v>1.5291999999999999</v>
      </c>
      <c r="G52" s="70">
        <v>5.3035500000000004</v>
      </c>
      <c r="H52" s="74">
        <v>0.1744</v>
      </c>
    </row>
    <row r="53" spans="1:8" ht="15.6">
      <c r="A53" s="468" t="s">
        <v>482</v>
      </c>
      <c r="B53" s="67">
        <v>38</v>
      </c>
      <c r="C53" s="73" t="s">
        <v>12</v>
      </c>
      <c r="D53" s="71" t="s">
        <v>34</v>
      </c>
      <c r="E53" s="70">
        <v>13.139699999999999</v>
      </c>
      <c r="F53" s="74">
        <v>0.432</v>
      </c>
      <c r="G53" s="70">
        <v>1.27746</v>
      </c>
      <c r="H53" s="74">
        <v>4.2000000000000003E-2</v>
      </c>
    </row>
    <row r="54" spans="1:8" ht="15.6">
      <c r="A54" s="468" t="s">
        <v>483</v>
      </c>
      <c r="B54" s="67">
        <v>39</v>
      </c>
      <c r="C54" s="73" t="s">
        <v>12</v>
      </c>
      <c r="D54" s="71" t="s">
        <v>54</v>
      </c>
      <c r="E54" s="70">
        <v>50.375779999999999</v>
      </c>
      <c r="F54" s="74">
        <v>1.6561999999999999</v>
      </c>
      <c r="G54" s="70">
        <v>5.3520599999999998</v>
      </c>
      <c r="H54" s="74">
        <v>0.17599999999999999</v>
      </c>
    </row>
    <row r="55" spans="1:8" ht="15.6">
      <c r="A55" s="468" t="s">
        <v>484</v>
      </c>
      <c r="B55" s="67">
        <v>40</v>
      </c>
      <c r="C55" s="69" t="s">
        <v>55</v>
      </c>
      <c r="D55" s="71" t="s">
        <v>12</v>
      </c>
      <c r="E55" s="70">
        <v>3.3324500000000001</v>
      </c>
      <c r="F55" s="74">
        <v>0.1096</v>
      </c>
      <c r="G55" s="70">
        <v>9.4369999999999996E-2</v>
      </c>
      <c r="H55" s="74">
        <v>3.0999999999999999E-3</v>
      </c>
    </row>
    <row r="56" spans="1:8" ht="15.6">
      <c r="A56" s="468" t="s">
        <v>485</v>
      </c>
      <c r="B56" s="67">
        <v>41</v>
      </c>
      <c r="C56" s="69" t="s">
        <v>55</v>
      </c>
      <c r="D56" s="71" t="s">
        <v>51</v>
      </c>
      <c r="E56" s="70">
        <v>9.6299200000000003</v>
      </c>
      <c r="F56" s="74">
        <v>0.31659999999999999</v>
      </c>
      <c r="G56" s="70">
        <v>0.85404999999999998</v>
      </c>
      <c r="H56" s="74">
        <v>2.81E-2</v>
      </c>
    </row>
    <row r="57" spans="1:8" ht="15.6">
      <c r="A57" s="468" t="s">
        <v>486</v>
      </c>
      <c r="B57" s="67">
        <v>42</v>
      </c>
      <c r="C57" s="69" t="s">
        <v>55</v>
      </c>
      <c r="D57" s="71" t="s">
        <v>13</v>
      </c>
      <c r="E57" s="70">
        <v>12.62748</v>
      </c>
      <c r="F57" s="74">
        <v>0.41520000000000001</v>
      </c>
      <c r="G57" s="70">
        <v>1.2157</v>
      </c>
      <c r="H57" s="74">
        <v>0.04</v>
      </c>
    </row>
    <row r="58" spans="1:8" ht="15.6">
      <c r="A58" s="468" t="s">
        <v>487</v>
      </c>
      <c r="B58" s="67">
        <v>43</v>
      </c>
      <c r="C58" s="69" t="s">
        <v>55</v>
      </c>
      <c r="D58" s="71" t="s">
        <v>9</v>
      </c>
      <c r="E58" s="70">
        <v>17.18055</v>
      </c>
      <c r="F58" s="74">
        <v>0.56479999999999997</v>
      </c>
      <c r="G58" s="70">
        <v>1.7649600000000001</v>
      </c>
      <c r="H58" s="74">
        <v>5.8000000000000003E-2</v>
      </c>
    </row>
    <row r="59" spans="1:8" ht="15.6">
      <c r="A59" s="468" t="s">
        <v>488</v>
      </c>
      <c r="B59" s="67">
        <v>44</v>
      </c>
      <c r="C59" s="69" t="s">
        <v>55</v>
      </c>
      <c r="D59" s="71" t="s">
        <v>14</v>
      </c>
      <c r="E59" s="70">
        <v>19.218769999999999</v>
      </c>
      <c r="F59" s="74">
        <v>0.63190000000000002</v>
      </c>
      <c r="G59" s="70">
        <v>2.01084</v>
      </c>
      <c r="H59" s="74">
        <v>6.6100000000000006E-2</v>
      </c>
    </row>
    <row r="60" spans="1:8" ht="15.6">
      <c r="A60" s="468" t="s">
        <v>489</v>
      </c>
      <c r="B60" s="67">
        <v>45</v>
      </c>
      <c r="C60" s="69" t="s">
        <v>55</v>
      </c>
      <c r="D60" s="71" t="s">
        <v>33</v>
      </c>
      <c r="E60" s="70">
        <v>27.738479999999999</v>
      </c>
      <c r="F60" s="74">
        <v>0.91200000000000003</v>
      </c>
      <c r="G60" s="70">
        <v>3.0386199999999999</v>
      </c>
      <c r="H60" s="74">
        <v>9.9900000000000003E-2</v>
      </c>
    </row>
    <row r="61" spans="1:8" ht="15.6">
      <c r="A61" s="468" t="s">
        <v>490</v>
      </c>
      <c r="B61" s="67">
        <v>46</v>
      </c>
      <c r="C61" s="69" t="s">
        <v>55</v>
      </c>
      <c r="D61" s="71" t="s">
        <v>25</v>
      </c>
      <c r="E61" s="70">
        <v>30.246939999999999</v>
      </c>
      <c r="F61" s="74">
        <v>0.99439999999999995</v>
      </c>
      <c r="G61" s="70">
        <v>3.3412600000000001</v>
      </c>
      <c r="H61" s="74">
        <v>0.1099</v>
      </c>
    </row>
    <row r="62" spans="1:8" ht="15.6">
      <c r="A62" s="468" t="s">
        <v>491</v>
      </c>
      <c r="B62" s="67">
        <v>47</v>
      </c>
      <c r="C62" s="69" t="s">
        <v>55</v>
      </c>
      <c r="D62" s="71" t="s">
        <v>31</v>
      </c>
      <c r="E62" s="70">
        <v>42.941339999999997</v>
      </c>
      <c r="F62" s="74">
        <v>1.4117999999999999</v>
      </c>
      <c r="G62" s="70">
        <v>4.8726799999999999</v>
      </c>
      <c r="H62" s="74">
        <v>0.16020000000000001</v>
      </c>
    </row>
    <row r="63" spans="1:8" ht="15.6">
      <c r="A63" s="468" t="s">
        <v>492</v>
      </c>
      <c r="B63" s="67">
        <v>48</v>
      </c>
      <c r="C63" s="69" t="s">
        <v>55</v>
      </c>
      <c r="D63" s="71" t="s">
        <v>45</v>
      </c>
      <c r="E63" s="70">
        <v>35.82779</v>
      </c>
      <c r="F63" s="74">
        <v>1.1778999999999999</v>
      </c>
      <c r="G63" s="70">
        <v>4.0145</v>
      </c>
      <c r="H63" s="74">
        <v>0.13200000000000001</v>
      </c>
    </row>
    <row r="64" spans="1:8" ht="15.6">
      <c r="A64" s="468" t="s">
        <v>493</v>
      </c>
      <c r="B64" s="67">
        <v>49</v>
      </c>
      <c r="C64" s="69" t="s">
        <v>55</v>
      </c>
      <c r="D64" s="71" t="s">
        <v>27</v>
      </c>
      <c r="E64" s="70">
        <v>40.22148</v>
      </c>
      <c r="F64" s="74">
        <v>1.3224</v>
      </c>
      <c r="G64" s="70">
        <v>4.5445399999999996</v>
      </c>
      <c r="H64" s="74">
        <v>0.14940000000000001</v>
      </c>
    </row>
    <row r="65" spans="1:8" ht="15.6">
      <c r="A65" s="468" t="s">
        <v>494</v>
      </c>
      <c r="B65" s="67">
        <v>50</v>
      </c>
      <c r="C65" s="69" t="s">
        <v>55</v>
      </c>
      <c r="D65" s="71" t="s">
        <v>21</v>
      </c>
      <c r="E65" s="70">
        <v>43.837409999999998</v>
      </c>
      <c r="F65" s="74">
        <v>1.4412</v>
      </c>
      <c r="G65" s="70">
        <v>4.9807600000000001</v>
      </c>
      <c r="H65" s="74">
        <v>0.1638</v>
      </c>
    </row>
    <row r="66" spans="1:8" ht="15.6">
      <c r="A66" s="468" t="s">
        <v>495</v>
      </c>
      <c r="B66" s="67">
        <v>51</v>
      </c>
      <c r="C66" s="69" t="s">
        <v>55</v>
      </c>
      <c r="D66" s="71" t="s">
        <v>32</v>
      </c>
      <c r="E66" s="70">
        <v>38.900790000000001</v>
      </c>
      <c r="F66" s="74">
        <v>1.2788999999999999</v>
      </c>
      <c r="G66" s="70">
        <v>4.3852399999999996</v>
      </c>
      <c r="H66" s="74">
        <v>0.14419999999999999</v>
      </c>
    </row>
    <row r="67" spans="1:8" ht="15.6">
      <c r="A67" s="468" t="s">
        <v>496</v>
      </c>
      <c r="B67" s="67">
        <v>52</v>
      </c>
      <c r="C67" s="69" t="s">
        <v>55</v>
      </c>
      <c r="D67" s="71" t="s">
        <v>30</v>
      </c>
      <c r="E67" s="70">
        <v>52.429209999999998</v>
      </c>
      <c r="F67" s="74">
        <v>1.7237</v>
      </c>
      <c r="G67" s="70">
        <v>5.5827600000000004</v>
      </c>
      <c r="H67" s="74">
        <v>0.1835</v>
      </c>
    </row>
    <row r="68" spans="1:8" ht="15.6">
      <c r="A68" s="468" t="s">
        <v>497</v>
      </c>
      <c r="B68" s="67">
        <v>53</v>
      </c>
      <c r="C68" s="69" t="s">
        <v>55</v>
      </c>
      <c r="D68" s="71" t="s">
        <v>28</v>
      </c>
      <c r="E68" s="70">
        <v>53.839019999999998</v>
      </c>
      <c r="F68" s="74">
        <v>1.7701</v>
      </c>
      <c r="G68" s="70">
        <v>5.7411399999999997</v>
      </c>
      <c r="H68" s="74">
        <v>0.1888</v>
      </c>
    </row>
    <row r="69" spans="1:8" ht="15.6">
      <c r="A69" s="468" t="s">
        <v>498</v>
      </c>
      <c r="B69" s="67">
        <v>54</v>
      </c>
      <c r="C69" s="69" t="s">
        <v>55</v>
      </c>
      <c r="D69" s="71" t="s">
        <v>79</v>
      </c>
      <c r="E69" s="70">
        <v>54.145319999999998</v>
      </c>
      <c r="F69" s="74">
        <v>1.7801</v>
      </c>
      <c r="G69" s="70">
        <v>5.7755400000000003</v>
      </c>
      <c r="H69" s="74">
        <v>0.18990000000000001</v>
      </c>
    </row>
    <row r="70" spans="1:8" ht="15.6">
      <c r="A70" s="468" t="s">
        <v>499</v>
      </c>
      <c r="B70" s="67">
        <v>55</v>
      </c>
      <c r="C70" s="69" t="s">
        <v>55</v>
      </c>
      <c r="D70" s="71" t="s">
        <v>29</v>
      </c>
      <c r="E70" s="70">
        <v>57.925199999999997</v>
      </c>
      <c r="F70" s="74">
        <v>1.9044000000000001</v>
      </c>
      <c r="G70" s="70">
        <v>6.2002199999999998</v>
      </c>
      <c r="H70" s="74">
        <v>0.20380000000000001</v>
      </c>
    </row>
    <row r="71" spans="1:8" ht="15.6">
      <c r="A71" s="468" t="s">
        <v>500</v>
      </c>
      <c r="B71" s="67">
        <v>56</v>
      </c>
      <c r="C71" s="69" t="s">
        <v>55</v>
      </c>
      <c r="D71" s="71" t="s">
        <v>43</v>
      </c>
      <c r="E71" s="70">
        <v>53.936959999999999</v>
      </c>
      <c r="F71" s="74">
        <v>1.7733000000000001</v>
      </c>
      <c r="G71" s="70">
        <v>5.7521100000000001</v>
      </c>
      <c r="H71" s="74">
        <v>0.18909999999999999</v>
      </c>
    </row>
    <row r="72" spans="1:8" ht="15.6">
      <c r="A72" s="468" t="s">
        <v>501</v>
      </c>
      <c r="B72" s="67">
        <v>57</v>
      </c>
      <c r="C72" s="69" t="s">
        <v>55</v>
      </c>
      <c r="D72" s="71" t="s">
        <v>18</v>
      </c>
      <c r="E72" s="70">
        <v>55.021320000000003</v>
      </c>
      <c r="F72" s="74">
        <v>1.8089</v>
      </c>
      <c r="G72" s="70">
        <v>5.8739800000000004</v>
      </c>
      <c r="H72" s="74">
        <v>0.19309999999999999</v>
      </c>
    </row>
    <row r="73" spans="1:8" ht="15.6">
      <c r="A73" s="468" t="s">
        <v>502</v>
      </c>
      <c r="B73" s="67">
        <v>58</v>
      </c>
      <c r="C73" s="69" t="s">
        <v>55</v>
      </c>
      <c r="D73" s="71" t="s">
        <v>76</v>
      </c>
      <c r="E73" s="70">
        <v>53.936959999999999</v>
      </c>
      <c r="F73" s="74">
        <v>1.7733000000000001</v>
      </c>
      <c r="G73" s="70">
        <v>5.7521100000000001</v>
      </c>
      <c r="H73" s="74">
        <v>0.18909999999999999</v>
      </c>
    </row>
    <row r="74" spans="1:8" ht="15.6">
      <c r="A74" s="468" t="s">
        <v>503</v>
      </c>
      <c r="B74" s="67">
        <v>59</v>
      </c>
      <c r="C74" s="69" t="s">
        <v>55</v>
      </c>
      <c r="D74" s="71" t="s">
        <v>19</v>
      </c>
      <c r="E74" s="70">
        <v>56.684800000000003</v>
      </c>
      <c r="F74" s="74">
        <v>1.8635999999999999</v>
      </c>
      <c r="G74" s="70">
        <v>6.0608500000000003</v>
      </c>
      <c r="H74" s="74">
        <v>0.1993</v>
      </c>
    </row>
    <row r="75" spans="1:8" ht="15.6">
      <c r="A75" s="468">
        <v>1</v>
      </c>
      <c r="B75" s="67">
        <v>60</v>
      </c>
      <c r="C75" s="69" t="s">
        <v>55</v>
      </c>
      <c r="D75" s="71" t="s">
        <v>23</v>
      </c>
      <c r="E75" s="70">
        <v>59.118139999999997</v>
      </c>
      <c r="F75" s="74">
        <v>1.9436</v>
      </c>
      <c r="G75" s="70">
        <v>6.3342599999999996</v>
      </c>
      <c r="H75" s="74">
        <v>0.20830000000000001</v>
      </c>
    </row>
    <row r="76" spans="1:8" ht="15.6">
      <c r="A76" s="468" t="s">
        <v>504</v>
      </c>
      <c r="B76" s="67">
        <v>1</v>
      </c>
      <c r="C76" s="69" t="s">
        <v>55</v>
      </c>
      <c r="D76" s="71" t="s">
        <v>20</v>
      </c>
      <c r="E76" s="70">
        <v>60.721400000000003</v>
      </c>
      <c r="F76" s="74">
        <v>1.9963</v>
      </c>
      <c r="G76" s="70">
        <v>6.5143599999999999</v>
      </c>
      <c r="H76" s="74">
        <v>0.2142</v>
      </c>
    </row>
    <row r="77" spans="1:8" ht="15.6">
      <c r="A77" s="468" t="s">
        <v>505</v>
      </c>
      <c r="B77" s="67">
        <v>2</v>
      </c>
      <c r="C77" s="69" t="s">
        <v>55</v>
      </c>
      <c r="D77" s="71" t="s">
        <v>53</v>
      </c>
      <c r="E77" s="70">
        <v>49.826149999999998</v>
      </c>
      <c r="F77" s="74">
        <v>1.6380999999999999</v>
      </c>
      <c r="G77" s="70">
        <v>5.2903000000000002</v>
      </c>
      <c r="H77" s="74">
        <v>0.1739</v>
      </c>
    </row>
    <row r="78" spans="1:8" ht="15.6">
      <c r="A78" s="468" t="s">
        <v>506</v>
      </c>
      <c r="B78" s="67">
        <v>3</v>
      </c>
      <c r="C78" s="69" t="s">
        <v>55</v>
      </c>
      <c r="D78" s="71" t="s">
        <v>41</v>
      </c>
      <c r="E78" s="70">
        <v>49.761060000000001</v>
      </c>
      <c r="F78" s="74">
        <v>1.6359999999999999</v>
      </c>
      <c r="G78" s="70">
        <v>5.2829699999999997</v>
      </c>
      <c r="H78" s="74">
        <v>0.17369999999999999</v>
      </c>
    </row>
    <row r="79" spans="1:8" ht="15.6">
      <c r="A79" s="468" t="s">
        <v>507</v>
      </c>
      <c r="B79" s="67">
        <v>4</v>
      </c>
      <c r="C79" s="69" t="s">
        <v>55</v>
      </c>
      <c r="D79" s="71" t="s">
        <v>36</v>
      </c>
      <c r="E79" s="70">
        <v>55.305410000000002</v>
      </c>
      <c r="F79" s="74">
        <v>1.8183</v>
      </c>
      <c r="G79" s="70">
        <v>5.9059100000000004</v>
      </c>
      <c r="H79" s="74">
        <v>0.19420000000000001</v>
      </c>
    </row>
    <row r="80" spans="1:8" ht="15.6">
      <c r="A80" s="468" t="s">
        <v>508</v>
      </c>
      <c r="B80" s="67">
        <v>5</v>
      </c>
      <c r="C80" s="69" t="s">
        <v>55</v>
      </c>
      <c r="D80" s="71" t="s">
        <v>15</v>
      </c>
      <c r="E80" s="70">
        <v>57.659959999999998</v>
      </c>
      <c r="F80" s="74">
        <v>1.8956999999999999</v>
      </c>
      <c r="G80" s="70">
        <v>6.1703799999999998</v>
      </c>
      <c r="H80" s="74">
        <v>0.2029</v>
      </c>
    </row>
    <row r="81" spans="1:8" ht="15.6">
      <c r="A81" s="468" t="s">
        <v>509</v>
      </c>
      <c r="B81" s="67">
        <v>6</v>
      </c>
      <c r="C81" s="69" t="s">
        <v>55</v>
      </c>
      <c r="D81" s="71" t="s">
        <v>16</v>
      </c>
      <c r="E81" s="70">
        <v>64.113470000000007</v>
      </c>
      <c r="F81" s="74">
        <v>2.1078000000000001</v>
      </c>
      <c r="G81" s="70">
        <v>6.8954500000000003</v>
      </c>
      <c r="H81" s="74">
        <v>0.22670000000000001</v>
      </c>
    </row>
    <row r="82" spans="1:8" ht="15.6">
      <c r="A82" s="468" t="s">
        <v>510</v>
      </c>
      <c r="B82" s="67">
        <v>7</v>
      </c>
      <c r="C82" s="69" t="s">
        <v>55</v>
      </c>
      <c r="D82" s="71" t="s">
        <v>17</v>
      </c>
      <c r="E82" s="70">
        <v>19.57525</v>
      </c>
      <c r="F82" s="74">
        <v>0.64359999999999995</v>
      </c>
      <c r="G82" s="70">
        <v>2.0538099999999999</v>
      </c>
      <c r="H82" s="74">
        <v>6.7500000000000004E-2</v>
      </c>
    </row>
    <row r="83" spans="1:8" ht="15.6">
      <c r="A83" s="468" t="s">
        <v>511</v>
      </c>
      <c r="B83" s="67">
        <v>8</v>
      </c>
      <c r="C83" s="69" t="s">
        <v>55</v>
      </c>
      <c r="D83" s="71" t="s">
        <v>10</v>
      </c>
      <c r="E83" s="70">
        <v>19.57525</v>
      </c>
      <c r="F83" s="74">
        <v>0.64359999999999995</v>
      </c>
      <c r="G83" s="70">
        <v>2.0538099999999999</v>
      </c>
      <c r="H83" s="74">
        <v>6.7500000000000004E-2</v>
      </c>
    </row>
    <row r="84" spans="1:8" ht="15.6">
      <c r="A84" s="468" t="s">
        <v>512</v>
      </c>
      <c r="B84" s="67">
        <v>9</v>
      </c>
      <c r="C84" s="69" t="s">
        <v>55</v>
      </c>
      <c r="D84" s="71" t="s">
        <v>22</v>
      </c>
      <c r="E84" s="70">
        <v>57.057409999999997</v>
      </c>
      <c r="F84" s="74">
        <v>1.8758999999999999</v>
      </c>
      <c r="G84" s="70">
        <v>6.1027199999999997</v>
      </c>
      <c r="H84" s="74">
        <v>0.2006</v>
      </c>
    </row>
    <row r="85" spans="1:8" ht="15.6">
      <c r="A85" s="468" t="s">
        <v>513</v>
      </c>
      <c r="B85" s="67">
        <v>10</v>
      </c>
      <c r="C85" s="69" t="s">
        <v>55</v>
      </c>
      <c r="D85" s="71" t="s">
        <v>35</v>
      </c>
      <c r="E85" s="70">
        <v>53.244680000000002</v>
      </c>
      <c r="F85" s="74">
        <v>1.7504999999999999</v>
      </c>
      <c r="G85" s="70">
        <v>5.6743399999999999</v>
      </c>
      <c r="H85" s="74">
        <v>0.18659999999999999</v>
      </c>
    </row>
    <row r="86" spans="1:8" ht="15.6">
      <c r="A86" s="468" t="s">
        <v>514</v>
      </c>
      <c r="B86" s="67">
        <v>11</v>
      </c>
      <c r="C86" s="69" t="s">
        <v>55</v>
      </c>
      <c r="D86" s="71" t="s">
        <v>24</v>
      </c>
      <c r="E86" s="70">
        <v>60.443089999999998</v>
      </c>
      <c r="F86" s="74">
        <v>1.9872000000000001</v>
      </c>
      <c r="G86" s="70">
        <v>6.4831200000000004</v>
      </c>
      <c r="H86" s="74">
        <v>0.21310000000000001</v>
      </c>
    </row>
    <row r="87" spans="1:8" ht="15.6">
      <c r="A87" s="468" t="s">
        <v>515</v>
      </c>
      <c r="B87" s="67">
        <v>12</v>
      </c>
      <c r="C87" s="69" t="s">
        <v>55</v>
      </c>
      <c r="D87" s="71" t="s">
        <v>37</v>
      </c>
      <c r="E87" s="70">
        <v>55.262219999999999</v>
      </c>
      <c r="F87" s="74">
        <v>1.8168</v>
      </c>
      <c r="G87" s="70">
        <v>5.9010499999999997</v>
      </c>
      <c r="H87" s="74">
        <v>0.19400000000000001</v>
      </c>
    </row>
    <row r="88" spans="1:8" ht="15.6">
      <c r="A88" s="468" t="s">
        <v>516</v>
      </c>
      <c r="B88" s="67">
        <v>13</v>
      </c>
      <c r="C88" s="69" t="s">
        <v>55</v>
      </c>
      <c r="D88" s="71" t="s">
        <v>38</v>
      </c>
      <c r="E88" s="70">
        <v>45.867730000000002</v>
      </c>
      <c r="F88" s="74">
        <v>1.508</v>
      </c>
      <c r="G88" s="70">
        <v>5.2257100000000003</v>
      </c>
      <c r="H88" s="74">
        <v>0.17180000000000001</v>
      </c>
    </row>
    <row r="89" spans="1:8" ht="15.6">
      <c r="A89" s="468" t="s">
        <v>517</v>
      </c>
      <c r="B89" s="67">
        <v>14</v>
      </c>
      <c r="C89" s="69" t="s">
        <v>55</v>
      </c>
      <c r="D89" s="71" t="s">
        <v>26</v>
      </c>
      <c r="E89" s="70">
        <v>60.759729999999998</v>
      </c>
      <c r="F89" s="74">
        <v>1.9976</v>
      </c>
      <c r="G89" s="70">
        <v>6.5186599999999997</v>
      </c>
      <c r="H89" s="74">
        <v>0.21429999999999999</v>
      </c>
    </row>
    <row r="90" spans="1:8" ht="15.6">
      <c r="A90" s="468" t="s">
        <v>518</v>
      </c>
      <c r="B90" s="67">
        <v>15</v>
      </c>
      <c r="C90" s="69" t="s">
        <v>55</v>
      </c>
      <c r="D90" s="71" t="s">
        <v>52</v>
      </c>
      <c r="E90" s="70">
        <v>19.218769999999999</v>
      </c>
      <c r="F90" s="74">
        <v>0.63190000000000002</v>
      </c>
      <c r="G90" s="70">
        <v>2.01084</v>
      </c>
      <c r="H90" s="74">
        <v>6.6100000000000006E-2</v>
      </c>
    </row>
    <row r="91" spans="1:8" ht="15.6">
      <c r="A91" s="468" t="s">
        <v>519</v>
      </c>
      <c r="B91" s="67">
        <v>16</v>
      </c>
      <c r="C91" s="69" t="s">
        <v>55</v>
      </c>
      <c r="D91" s="71" t="s">
        <v>40</v>
      </c>
      <c r="E91" s="70">
        <v>46.000950000000003</v>
      </c>
      <c r="F91" s="74">
        <v>1.5124</v>
      </c>
      <c r="G91" s="70">
        <v>5.2417899999999999</v>
      </c>
      <c r="H91" s="74">
        <v>0.17230000000000001</v>
      </c>
    </row>
    <row r="92" spans="1:8" ht="15.6">
      <c r="A92" s="468" t="s">
        <v>520</v>
      </c>
      <c r="B92" s="67">
        <v>17</v>
      </c>
      <c r="C92" s="69" t="s">
        <v>55</v>
      </c>
      <c r="D92" s="71" t="s">
        <v>34</v>
      </c>
      <c r="E92" s="70">
        <v>12.62748</v>
      </c>
      <c r="F92" s="74">
        <v>0.41520000000000001</v>
      </c>
      <c r="G92" s="70">
        <v>1.2157</v>
      </c>
      <c r="H92" s="74">
        <v>0.04</v>
      </c>
    </row>
    <row r="93" spans="1:8" ht="15.6">
      <c r="A93" s="468" t="s">
        <v>521</v>
      </c>
      <c r="B93" s="67">
        <v>18</v>
      </c>
      <c r="C93" s="69" t="s">
        <v>55</v>
      </c>
      <c r="D93" s="71" t="s">
        <v>54</v>
      </c>
      <c r="E93" s="70">
        <v>49.826149999999998</v>
      </c>
      <c r="F93" s="74">
        <v>1.6380999999999999</v>
      </c>
      <c r="G93" s="70">
        <v>5.2903000000000002</v>
      </c>
      <c r="H93" s="74">
        <v>0.1739</v>
      </c>
    </row>
    <row r="94" spans="1:8" ht="15.6">
      <c r="A94" s="468" t="s">
        <v>522</v>
      </c>
      <c r="B94" s="67">
        <v>19</v>
      </c>
      <c r="C94" s="69" t="s">
        <v>45</v>
      </c>
      <c r="D94" s="71" t="s">
        <v>12</v>
      </c>
      <c r="E94" s="70" t="s">
        <v>286</v>
      </c>
      <c r="F94" s="74">
        <v>1.1947000000000001</v>
      </c>
      <c r="G94" s="70" t="s">
        <v>286</v>
      </c>
      <c r="H94" s="74">
        <v>0.13400000000000001</v>
      </c>
    </row>
    <row r="95" spans="1:8" ht="15.6">
      <c r="A95" s="468" t="s">
        <v>523</v>
      </c>
      <c r="B95" s="67">
        <v>20</v>
      </c>
      <c r="C95" s="69" t="s">
        <v>45</v>
      </c>
      <c r="D95" s="71" t="s">
        <v>51</v>
      </c>
      <c r="E95" s="70" t="s">
        <v>286</v>
      </c>
      <c r="F95" s="74">
        <v>0.95409999999999995</v>
      </c>
      <c r="G95" s="70" t="s">
        <v>286</v>
      </c>
      <c r="H95" s="74">
        <v>0.105</v>
      </c>
    </row>
    <row r="96" spans="1:8" ht="15.6">
      <c r="A96" s="468" t="s">
        <v>524</v>
      </c>
      <c r="B96" s="67">
        <v>21</v>
      </c>
      <c r="C96" s="69" t="s">
        <v>45</v>
      </c>
      <c r="D96" s="71" t="s">
        <v>13</v>
      </c>
      <c r="E96" s="70" t="s">
        <v>286</v>
      </c>
      <c r="F96" s="74">
        <v>0.85550000000000004</v>
      </c>
      <c r="G96" s="70" t="s">
        <v>286</v>
      </c>
      <c r="H96" s="74">
        <v>9.3100000000000002E-2</v>
      </c>
    </row>
    <row r="97" spans="1:8" ht="15.6">
      <c r="A97" s="468" t="s">
        <v>525</v>
      </c>
      <c r="B97" s="67">
        <v>22</v>
      </c>
      <c r="C97" s="69" t="s">
        <v>45</v>
      </c>
      <c r="D97" s="71" t="s">
        <v>9</v>
      </c>
      <c r="E97" s="70" t="s">
        <v>286</v>
      </c>
      <c r="F97" s="74">
        <v>0.70720000000000005</v>
      </c>
      <c r="G97" s="70" t="s">
        <v>286</v>
      </c>
      <c r="H97" s="74">
        <v>7.5200000000000003E-2</v>
      </c>
    </row>
    <row r="98" spans="1:8" ht="15.6">
      <c r="A98" s="468" t="s">
        <v>526</v>
      </c>
      <c r="B98" s="67">
        <v>23</v>
      </c>
      <c r="C98" s="69" t="s">
        <v>45</v>
      </c>
      <c r="D98" s="71" t="s">
        <v>14</v>
      </c>
      <c r="E98" s="70" t="s">
        <v>286</v>
      </c>
      <c r="F98" s="74">
        <v>0.63880000000000003</v>
      </c>
      <c r="G98" s="70" t="s">
        <v>286</v>
      </c>
      <c r="H98" s="74">
        <v>6.7000000000000004E-2</v>
      </c>
    </row>
    <row r="99" spans="1:8" ht="15.6">
      <c r="A99" s="468" t="s">
        <v>527</v>
      </c>
      <c r="B99" s="67">
        <v>24</v>
      </c>
      <c r="C99" s="69" t="s">
        <v>45</v>
      </c>
      <c r="D99" s="71" t="s">
        <v>33</v>
      </c>
      <c r="E99" s="70" t="s">
        <v>286</v>
      </c>
      <c r="F99" s="74">
        <v>0.38169999999999998</v>
      </c>
      <c r="G99" s="70" t="s">
        <v>286</v>
      </c>
      <c r="H99" s="74">
        <v>3.5900000000000001E-2</v>
      </c>
    </row>
    <row r="100" spans="1:8" ht="15.6">
      <c r="A100" s="468" t="s">
        <v>528</v>
      </c>
      <c r="B100" s="67">
        <v>25</v>
      </c>
      <c r="C100" s="69" t="s">
        <v>45</v>
      </c>
      <c r="D100" s="71" t="s">
        <v>25</v>
      </c>
      <c r="E100" s="70" t="s">
        <v>286</v>
      </c>
      <c r="F100" s="74">
        <v>0.2762</v>
      </c>
      <c r="G100" s="70" t="s">
        <v>286</v>
      </c>
      <c r="H100" s="74">
        <v>2.3199999999999998E-2</v>
      </c>
    </row>
    <row r="101" spans="1:8" ht="15.6">
      <c r="A101" s="468" t="s">
        <v>529</v>
      </c>
      <c r="B101" s="67">
        <v>26</v>
      </c>
      <c r="C101" s="69" t="s">
        <v>45</v>
      </c>
      <c r="D101" s="71" t="s">
        <v>31</v>
      </c>
      <c r="E101" s="70" t="s">
        <v>286</v>
      </c>
      <c r="F101" s="74">
        <v>0.3266</v>
      </c>
      <c r="G101" s="70" t="s">
        <v>286</v>
      </c>
      <c r="H101" s="74">
        <v>2.93E-2</v>
      </c>
    </row>
    <row r="102" spans="1:8" ht="15.6">
      <c r="A102" s="468" t="s">
        <v>530</v>
      </c>
      <c r="B102" s="67">
        <v>27</v>
      </c>
      <c r="C102" s="69" t="s">
        <v>45</v>
      </c>
      <c r="D102" s="71" t="s">
        <v>45</v>
      </c>
      <c r="E102" s="70" t="s">
        <v>286</v>
      </c>
      <c r="F102" s="74">
        <v>9.2700000000000005E-2</v>
      </c>
      <c r="G102" s="70" t="s">
        <v>286</v>
      </c>
      <c r="H102" s="74">
        <v>1.1000000000000001E-3</v>
      </c>
    </row>
    <row r="103" spans="1:8" ht="15.6">
      <c r="A103" s="468" t="s">
        <v>531</v>
      </c>
      <c r="B103" s="67">
        <v>28</v>
      </c>
      <c r="C103" s="69" t="s">
        <v>45</v>
      </c>
      <c r="D103" s="71" t="s">
        <v>27</v>
      </c>
      <c r="E103" s="70" t="s">
        <v>286</v>
      </c>
      <c r="F103" s="74">
        <v>0.23719999999999999</v>
      </c>
      <c r="G103" s="70" t="s">
        <v>286</v>
      </c>
      <c r="H103" s="74">
        <v>1.8499999999999999E-2</v>
      </c>
    </row>
    <row r="104" spans="1:8" ht="15.6">
      <c r="A104" s="468" t="s">
        <v>532</v>
      </c>
      <c r="B104" s="67">
        <v>29</v>
      </c>
      <c r="C104" s="69" t="s">
        <v>45</v>
      </c>
      <c r="D104" s="71" t="s">
        <v>21</v>
      </c>
      <c r="E104" s="70" t="s">
        <v>286</v>
      </c>
      <c r="F104" s="74">
        <v>0.35610000000000003</v>
      </c>
      <c r="G104" s="70" t="s">
        <v>286</v>
      </c>
      <c r="H104" s="74">
        <v>3.2800000000000003E-2</v>
      </c>
    </row>
    <row r="105" spans="1:8" ht="15.6">
      <c r="A105" s="468" t="s">
        <v>533</v>
      </c>
      <c r="B105" s="67">
        <v>30</v>
      </c>
      <c r="C105" s="69" t="s">
        <v>45</v>
      </c>
      <c r="D105" s="71" t="s">
        <v>32</v>
      </c>
      <c r="E105" s="70" t="s">
        <v>286</v>
      </c>
      <c r="F105" s="74">
        <v>1.0855999999999999</v>
      </c>
      <c r="G105" s="70" t="s">
        <v>286</v>
      </c>
      <c r="H105" s="74">
        <v>0.12089999999999999</v>
      </c>
    </row>
    <row r="106" spans="1:8" ht="15.6">
      <c r="A106" s="468" t="s">
        <v>534</v>
      </c>
      <c r="B106" s="67">
        <v>31</v>
      </c>
      <c r="C106" s="69" t="s">
        <v>45</v>
      </c>
      <c r="D106" s="71" t="s">
        <v>30</v>
      </c>
      <c r="E106" s="70" t="s">
        <v>286</v>
      </c>
      <c r="F106" s="74">
        <v>0.5585</v>
      </c>
      <c r="G106" s="70" t="s">
        <v>286</v>
      </c>
      <c r="H106" s="74">
        <v>5.2600000000000001E-2</v>
      </c>
    </row>
    <row r="107" spans="1:8" ht="15.6">
      <c r="A107" s="468" t="s">
        <v>535</v>
      </c>
      <c r="B107" s="67">
        <v>32</v>
      </c>
      <c r="C107" s="69" t="s">
        <v>45</v>
      </c>
      <c r="D107" s="71" t="s">
        <v>28</v>
      </c>
      <c r="E107" s="70" t="s">
        <v>286</v>
      </c>
      <c r="F107" s="74">
        <v>0.70450000000000002</v>
      </c>
      <c r="G107" s="70" t="s">
        <v>286</v>
      </c>
      <c r="H107" s="74">
        <v>6.9000000000000006E-2</v>
      </c>
    </row>
    <row r="108" spans="1:8" ht="15.6">
      <c r="A108" s="468" t="s">
        <v>536</v>
      </c>
      <c r="B108" s="67">
        <v>33</v>
      </c>
      <c r="C108" s="69" t="s">
        <v>45</v>
      </c>
      <c r="D108" s="71" t="s">
        <v>79</v>
      </c>
      <c r="E108" s="70" t="s">
        <v>286</v>
      </c>
      <c r="F108" s="74">
        <v>0.67500000000000004</v>
      </c>
      <c r="G108" s="70" t="s">
        <v>286</v>
      </c>
      <c r="H108" s="74">
        <v>6.5699999999999995E-2</v>
      </c>
    </row>
    <row r="109" spans="1:8" ht="15.6">
      <c r="A109" s="468" t="s">
        <v>537</v>
      </c>
      <c r="B109" s="67">
        <v>34</v>
      </c>
      <c r="C109" s="69" t="s">
        <v>45</v>
      </c>
      <c r="D109" s="71" t="s">
        <v>29</v>
      </c>
      <c r="E109" s="70" t="s">
        <v>286</v>
      </c>
      <c r="F109" s="74">
        <v>0.74129999999999996</v>
      </c>
      <c r="G109" s="70" t="s">
        <v>286</v>
      </c>
      <c r="H109" s="74">
        <v>7.3200000000000001E-2</v>
      </c>
    </row>
    <row r="110" spans="1:8" ht="15.6">
      <c r="A110" s="468" t="s">
        <v>538</v>
      </c>
      <c r="B110" s="67">
        <v>35</v>
      </c>
      <c r="C110" s="69" t="s">
        <v>45</v>
      </c>
      <c r="D110" s="71" t="s">
        <v>43</v>
      </c>
      <c r="E110" s="70" t="s">
        <v>286</v>
      </c>
      <c r="F110" s="74">
        <v>0.66810000000000003</v>
      </c>
      <c r="G110" s="70" t="s">
        <v>286</v>
      </c>
      <c r="H110" s="74">
        <v>6.5000000000000002E-2</v>
      </c>
    </row>
    <row r="111" spans="1:8" ht="15.6">
      <c r="A111" s="468" t="s">
        <v>539</v>
      </c>
      <c r="B111" s="67">
        <v>36</v>
      </c>
      <c r="C111" s="69" t="s">
        <v>45</v>
      </c>
      <c r="D111" s="71" t="s">
        <v>18</v>
      </c>
      <c r="E111" s="70" t="s">
        <v>286</v>
      </c>
      <c r="F111" s="74">
        <v>0.66410000000000002</v>
      </c>
      <c r="G111" s="70" t="s">
        <v>286</v>
      </c>
      <c r="H111" s="74">
        <v>6.4500000000000002E-2</v>
      </c>
    </row>
    <row r="112" spans="1:8" ht="15.6">
      <c r="A112" s="468" t="s">
        <v>540</v>
      </c>
      <c r="B112" s="67">
        <v>37</v>
      </c>
      <c r="C112" s="69" t="s">
        <v>45</v>
      </c>
      <c r="D112" s="71" t="s">
        <v>76</v>
      </c>
      <c r="E112" s="70" t="s">
        <v>286</v>
      </c>
      <c r="F112" s="74">
        <v>0.66810000000000003</v>
      </c>
      <c r="G112" s="70" t="s">
        <v>286</v>
      </c>
      <c r="H112" s="74">
        <v>6.5000000000000002E-2</v>
      </c>
    </row>
    <row r="113" spans="1:8" ht="15.6">
      <c r="A113" s="468" t="s">
        <v>541</v>
      </c>
      <c r="B113" s="67">
        <v>38</v>
      </c>
      <c r="C113" s="69" t="s">
        <v>45</v>
      </c>
      <c r="D113" s="71" t="s">
        <v>19</v>
      </c>
      <c r="E113" s="70" t="s">
        <v>286</v>
      </c>
      <c r="F113" s="74">
        <v>0.69879999999999998</v>
      </c>
      <c r="G113" s="70" t="s">
        <v>286</v>
      </c>
      <c r="H113" s="74">
        <v>6.8400000000000002E-2</v>
      </c>
    </row>
    <row r="114" spans="1:8" ht="15.6">
      <c r="A114" s="468" t="s">
        <v>542</v>
      </c>
      <c r="B114" s="67">
        <v>39</v>
      </c>
      <c r="C114" s="69" t="s">
        <v>45</v>
      </c>
      <c r="D114" s="71" t="s">
        <v>23</v>
      </c>
      <c r="E114" s="70" t="s">
        <v>286</v>
      </c>
      <c r="F114" s="74">
        <v>0.77839999999999998</v>
      </c>
      <c r="G114" s="70" t="s">
        <v>286</v>
      </c>
      <c r="H114" s="74">
        <v>7.7299999999999994E-2</v>
      </c>
    </row>
    <row r="115" spans="1:8" ht="15.6">
      <c r="A115" s="468" t="s">
        <v>543</v>
      </c>
      <c r="B115" s="67">
        <v>40</v>
      </c>
      <c r="C115" s="69" t="s">
        <v>45</v>
      </c>
      <c r="D115" s="71" t="s">
        <v>20</v>
      </c>
      <c r="E115" s="70" t="s">
        <v>286</v>
      </c>
      <c r="F115" s="74">
        <v>0.83109999999999995</v>
      </c>
      <c r="G115" s="70" t="s">
        <v>286</v>
      </c>
      <c r="H115" s="74">
        <v>8.3299999999999999E-2</v>
      </c>
    </row>
    <row r="116" spans="1:8" ht="15.6">
      <c r="A116" s="468" t="s">
        <v>544</v>
      </c>
      <c r="B116" s="67">
        <v>41</v>
      </c>
      <c r="C116" s="69" t="s">
        <v>45</v>
      </c>
      <c r="D116" s="71" t="s">
        <v>53</v>
      </c>
      <c r="E116" s="70" t="s">
        <v>286</v>
      </c>
      <c r="F116" s="74">
        <v>0.80330000000000001</v>
      </c>
      <c r="G116" s="70" t="s">
        <v>286</v>
      </c>
      <c r="H116" s="74">
        <v>8.0100000000000005E-2</v>
      </c>
    </row>
    <row r="117" spans="1:8" ht="15.6">
      <c r="A117" s="468" t="s">
        <v>545</v>
      </c>
      <c r="B117" s="67">
        <v>42</v>
      </c>
      <c r="C117" s="69" t="s">
        <v>45</v>
      </c>
      <c r="D117" s="71" t="s">
        <v>41</v>
      </c>
      <c r="E117" s="70" t="s">
        <v>286</v>
      </c>
      <c r="F117" s="74">
        <v>0.8054</v>
      </c>
      <c r="G117" s="70" t="s">
        <v>286</v>
      </c>
      <c r="H117" s="74">
        <v>8.0399999999999999E-2</v>
      </c>
    </row>
    <row r="118" spans="1:8" ht="15.6">
      <c r="A118" s="468" t="s">
        <v>546</v>
      </c>
      <c r="B118" s="67">
        <v>43</v>
      </c>
      <c r="C118" s="69" t="s">
        <v>45</v>
      </c>
      <c r="D118" s="71" t="s">
        <v>36</v>
      </c>
      <c r="E118" s="70" t="s">
        <v>286</v>
      </c>
      <c r="F118" s="74">
        <v>0.74860000000000004</v>
      </c>
      <c r="G118" s="70" t="s">
        <v>286</v>
      </c>
      <c r="H118" s="74">
        <v>7.3999999999999996E-2</v>
      </c>
    </row>
    <row r="119" spans="1:8" ht="15.6">
      <c r="A119" s="468" t="s">
        <v>547</v>
      </c>
      <c r="B119" s="67">
        <v>44</v>
      </c>
      <c r="C119" s="69" t="s">
        <v>45</v>
      </c>
      <c r="D119" s="71" t="s">
        <v>15</v>
      </c>
      <c r="E119" s="70" t="s">
        <v>286</v>
      </c>
      <c r="F119" s="74">
        <v>0.73050000000000004</v>
      </c>
      <c r="G119" s="70" t="s">
        <v>286</v>
      </c>
      <c r="H119" s="74">
        <v>7.1999999999999995E-2</v>
      </c>
    </row>
    <row r="120" spans="1:8" ht="15.6">
      <c r="A120" s="468" t="s">
        <v>548</v>
      </c>
      <c r="B120" s="67">
        <v>45</v>
      </c>
      <c r="C120" s="69" t="s">
        <v>45</v>
      </c>
      <c r="D120" s="71" t="s">
        <v>16</v>
      </c>
      <c r="E120" s="70" t="s">
        <v>286</v>
      </c>
      <c r="F120" s="74">
        <v>0.94259999999999999</v>
      </c>
      <c r="G120" s="70" t="s">
        <v>286</v>
      </c>
      <c r="H120" s="74">
        <v>9.5799999999999996E-2</v>
      </c>
    </row>
    <row r="121" spans="1:8" ht="15.6">
      <c r="A121" s="468" t="s">
        <v>549</v>
      </c>
      <c r="B121" s="67">
        <v>46</v>
      </c>
      <c r="C121" s="69" t="s">
        <v>45</v>
      </c>
      <c r="D121" s="71" t="s">
        <v>17</v>
      </c>
      <c r="E121" s="70" t="s">
        <v>286</v>
      </c>
      <c r="F121" s="74">
        <v>0.71750000000000003</v>
      </c>
      <c r="G121" s="70" t="s">
        <v>286</v>
      </c>
      <c r="H121" s="74">
        <v>7.6399999999999996E-2</v>
      </c>
    </row>
    <row r="122" spans="1:8" ht="15.6">
      <c r="A122" s="468" t="s">
        <v>550</v>
      </c>
      <c r="B122" s="67">
        <v>47</v>
      </c>
      <c r="C122" s="69" t="s">
        <v>45</v>
      </c>
      <c r="D122" s="71" t="s">
        <v>10</v>
      </c>
      <c r="E122" s="70" t="s">
        <v>286</v>
      </c>
      <c r="F122" s="74">
        <v>0.71750000000000003</v>
      </c>
      <c r="G122" s="70" t="s">
        <v>286</v>
      </c>
      <c r="H122" s="74">
        <v>7.6399999999999996E-2</v>
      </c>
    </row>
    <row r="123" spans="1:8" ht="15.6">
      <c r="A123" s="468" t="s">
        <v>551</v>
      </c>
      <c r="B123" s="67">
        <v>48</v>
      </c>
      <c r="C123" s="69" t="s">
        <v>45</v>
      </c>
      <c r="D123" s="71" t="s">
        <v>22</v>
      </c>
      <c r="E123" s="70" t="s">
        <v>286</v>
      </c>
      <c r="F123" s="74">
        <v>0.7107</v>
      </c>
      <c r="G123" s="70" t="s">
        <v>286</v>
      </c>
      <c r="H123" s="74">
        <v>6.9699999999999998E-2</v>
      </c>
    </row>
    <row r="124" spans="1:8" ht="15.6">
      <c r="A124" s="468" t="s">
        <v>552</v>
      </c>
      <c r="B124" s="67">
        <v>49</v>
      </c>
      <c r="C124" s="69" t="s">
        <v>45</v>
      </c>
      <c r="D124" s="71" t="s">
        <v>35</v>
      </c>
      <c r="E124" s="70" t="s">
        <v>286</v>
      </c>
      <c r="F124" s="74">
        <v>0.69089999999999996</v>
      </c>
      <c r="G124" s="70" t="s">
        <v>286</v>
      </c>
      <c r="H124" s="74">
        <v>6.7500000000000004E-2</v>
      </c>
    </row>
    <row r="125" spans="1:8" ht="15.6">
      <c r="A125" s="468" t="s">
        <v>553</v>
      </c>
      <c r="B125" s="67">
        <v>50</v>
      </c>
      <c r="C125" s="69" t="s">
        <v>45</v>
      </c>
      <c r="D125" s="71" t="s">
        <v>24</v>
      </c>
      <c r="E125" s="70" t="s">
        <v>286</v>
      </c>
      <c r="F125" s="74">
        <v>0.82199999999999995</v>
      </c>
      <c r="G125" s="70" t="s">
        <v>286</v>
      </c>
      <c r="H125" s="74">
        <v>8.2199999999999995E-2</v>
      </c>
    </row>
    <row r="126" spans="1:8" ht="15.6">
      <c r="A126" s="468" t="s">
        <v>554</v>
      </c>
      <c r="B126" s="67">
        <v>51</v>
      </c>
      <c r="C126" s="69" t="s">
        <v>45</v>
      </c>
      <c r="D126" s="71" t="s">
        <v>37</v>
      </c>
      <c r="E126" s="70" t="s">
        <v>286</v>
      </c>
      <c r="F126" s="74">
        <v>0.74719999999999998</v>
      </c>
      <c r="G126" s="70" t="s">
        <v>286</v>
      </c>
      <c r="H126" s="74">
        <v>7.3800000000000004E-2</v>
      </c>
    </row>
    <row r="127" spans="1:8" ht="15.6">
      <c r="A127" s="468" t="s">
        <v>555</v>
      </c>
      <c r="B127" s="67">
        <v>52</v>
      </c>
      <c r="C127" s="69" t="s">
        <v>45</v>
      </c>
      <c r="D127" s="71" t="s">
        <v>38</v>
      </c>
      <c r="E127" s="70" t="s">
        <v>286</v>
      </c>
      <c r="F127" s="74">
        <v>0.42280000000000001</v>
      </c>
      <c r="G127" s="70" t="s">
        <v>286</v>
      </c>
      <c r="H127" s="74">
        <v>4.0899999999999999E-2</v>
      </c>
    </row>
    <row r="128" spans="1:8" ht="15.6">
      <c r="A128" s="468" t="s">
        <v>556</v>
      </c>
      <c r="B128" s="67">
        <v>53</v>
      </c>
      <c r="C128" s="69" t="s">
        <v>45</v>
      </c>
      <c r="D128" s="71" t="s">
        <v>26</v>
      </c>
      <c r="E128" s="70" t="s">
        <v>286</v>
      </c>
      <c r="F128" s="74">
        <v>0.83240000000000003</v>
      </c>
      <c r="G128" s="70" t="s">
        <v>286</v>
      </c>
      <c r="H128" s="74">
        <v>8.3400000000000002E-2</v>
      </c>
    </row>
    <row r="129" spans="1:8" ht="15.6">
      <c r="A129" s="468" t="s">
        <v>557</v>
      </c>
      <c r="B129" s="67">
        <v>54</v>
      </c>
      <c r="C129" s="69" t="s">
        <v>45</v>
      </c>
      <c r="D129" s="71" t="s">
        <v>52</v>
      </c>
      <c r="E129" s="70" t="s">
        <v>286</v>
      </c>
      <c r="F129" s="74">
        <v>0.63880000000000003</v>
      </c>
      <c r="G129" s="70" t="s">
        <v>286</v>
      </c>
      <c r="H129" s="74">
        <v>6.7000000000000004E-2</v>
      </c>
    </row>
    <row r="130" spans="1:8" ht="15.6">
      <c r="A130" s="468" t="s">
        <v>558</v>
      </c>
      <c r="B130" s="67">
        <v>55</v>
      </c>
      <c r="C130" s="69" t="s">
        <v>45</v>
      </c>
      <c r="D130" s="71" t="s">
        <v>40</v>
      </c>
      <c r="E130" s="70" t="s">
        <v>286</v>
      </c>
      <c r="F130" s="74">
        <v>0.76129999999999998</v>
      </c>
      <c r="G130" s="70" t="s">
        <v>286</v>
      </c>
      <c r="H130" s="74">
        <v>8.1699999999999995E-2</v>
      </c>
    </row>
    <row r="131" spans="1:8" ht="15.6">
      <c r="A131" s="468" t="s">
        <v>559</v>
      </c>
      <c r="B131" s="67">
        <v>56</v>
      </c>
      <c r="C131" s="69" t="s">
        <v>45</v>
      </c>
      <c r="D131" s="71" t="s">
        <v>34</v>
      </c>
      <c r="E131" s="70" t="s">
        <v>286</v>
      </c>
      <c r="F131" s="74">
        <v>0.85550000000000004</v>
      </c>
      <c r="G131" s="70" t="s">
        <v>286</v>
      </c>
      <c r="H131" s="74">
        <v>9.3100000000000002E-2</v>
      </c>
    </row>
    <row r="132" spans="1:8" ht="15.6">
      <c r="A132" s="468" t="s">
        <v>560</v>
      </c>
      <c r="B132" s="67">
        <v>57</v>
      </c>
      <c r="C132" s="69" t="s">
        <v>45</v>
      </c>
      <c r="D132" s="71" t="s">
        <v>54</v>
      </c>
      <c r="E132" s="70" t="s">
        <v>286</v>
      </c>
      <c r="F132" s="74">
        <v>0.80330000000000001</v>
      </c>
      <c r="G132" s="70" t="s">
        <v>286</v>
      </c>
      <c r="H132" s="74">
        <v>8.0100000000000005E-2</v>
      </c>
    </row>
    <row r="133" spans="1:8" ht="15.6">
      <c r="A133" s="468" t="s">
        <v>561</v>
      </c>
      <c r="B133" s="67">
        <v>58</v>
      </c>
      <c r="C133" s="69" t="s">
        <v>9</v>
      </c>
      <c r="D133" s="71" t="s">
        <v>12</v>
      </c>
      <c r="E133" s="70" t="s">
        <v>286</v>
      </c>
      <c r="F133" s="74">
        <v>0.58169999999999999</v>
      </c>
      <c r="G133" s="70" t="s">
        <v>286</v>
      </c>
      <c r="H133" s="74">
        <v>6.0100000000000001E-2</v>
      </c>
    </row>
    <row r="134" spans="1:8" ht="15.6">
      <c r="A134" s="468" t="s">
        <v>562</v>
      </c>
      <c r="B134" s="67">
        <v>59</v>
      </c>
      <c r="C134" s="69" t="s">
        <v>9</v>
      </c>
      <c r="D134" s="71" t="s">
        <v>51</v>
      </c>
      <c r="E134" s="70" t="s">
        <v>286</v>
      </c>
      <c r="F134" s="74">
        <v>0.34100000000000003</v>
      </c>
      <c r="G134" s="70" t="s">
        <v>286</v>
      </c>
      <c r="H134" s="74">
        <v>3.1E-2</v>
      </c>
    </row>
    <row r="135" spans="1:8" ht="15.6">
      <c r="A135" s="468" t="s">
        <v>563</v>
      </c>
      <c r="B135" s="67">
        <v>60</v>
      </c>
      <c r="C135" s="69" t="s">
        <v>9</v>
      </c>
      <c r="D135" s="71" t="s">
        <v>13</v>
      </c>
      <c r="E135" s="70" t="s">
        <v>286</v>
      </c>
      <c r="F135" s="74">
        <v>0.2424</v>
      </c>
      <c r="G135" s="70" t="s">
        <v>286</v>
      </c>
      <c r="H135" s="74">
        <v>1.9099999999999999E-2</v>
      </c>
    </row>
    <row r="136" spans="1:8" ht="15.6">
      <c r="A136" s="468" t="s">
        <v>564</v>
      </c>
      <c r="B136" s="67">
        <v>61</v>
      </c>
      <c r="C136" s="69" t="s">
        <v>9</v>
      </c>
      <c r="D136" s="71" t="s">
        <v>9</v>
      </c>
      <c r="E136" s="70" t="s">
        <v>286</v>
      </c>
      <c r="F136" s="74">
        <v>9.2700000000000005E-2</v>
      </c>
      <c r="G136" s="70" t="s">
        <v>286</v>
      </c>
      <c r="H136" s="74">
        <v>1.1000000000000001E-3</v>
      </c>
    </row>
    <row r="137" spans="1:8" ht="15.6">
      <c r="A137" s="468" t="s">
        <v>565</v>
      </c>
      <c r="B137" s="67">
        <v>62</v>
      </c>
      <c r="C137" s="69" t="s">
        <v>9</v>
      </c>
      <c r="D137" s="71" t="s">
        <v>14</v>
      </c>
      <c r="E137" s="70" t="s">
        <v>286</v>
      </c>
      <c r="F137" s="74">
        <v>0.16120000000000001</v>
      </c>
      <c r="G137" s="70" t="s">
        <v>286</v>
      </c>
      <c r="H137" s="74">
        <v>9.2999999999999992E-3</v>
      </c>
    </row>
    <row r="138" spans="1:8" ht="15.6">
      <c r="A138" s="468" t="s">
        <v>566</v>
      </c>
      <c r="B138" s="67">
        <v>63</v>
      </c>
      <c r="C138" s="69" t="s">
        <v>9</v>
      </c>
      <c r="D138" s="71" t="s">
        <v>33</v>
      </c>
      <c r="E138" s="70" t="s">
        <v>286</v>
      </c>
      <c r="F138" s="74">
        <v>0.44119999999999998</v>
      </c>
      <c r="G138" s="70" t="s">
        <v>286</v>
      </c>
      <c r="H138" s="74">
        <v>4.3099999999999999E-2</v>
      </c>
    </row>
    <row r="139" spans="1:8" ht="15.6">
      <c r="A139" s="468" t="s">
        <v>567</v>
      </c>
      <c r="B139" s="67">
        <v>64</v>
      </c>
      <c r="C139" s="69" t="s">
        <v>9</v>
      </c>
      <c r="D139" s="71" t="s">
        <v>25</v>
      </c>
      <c r="E139" s="70" t="s">
        <v>286</v>
      </c>
      <c r="F139" s="74">
        <v>0.52380000000000004</v>
      </c>
      <c r="G139" s="70" t="s">
        <v>286</v>
      </c>
      <c r="H139" s="74">
        <v>5.3100000000000001E-2</v>
      </c>
    </row>
    <row r="140" spans="1:8" ht="15.6">
      <c r="A140" s="468" t="s">
        <v>568</v>
      </c>
      <c r="B140" s="67">
        <v>65</v>
      </c>
      <c r="C140" s="69" t="s">
        <v>9</v>
      </c>
      <c r="D140" s="71" t="s">
        <v>31</v>
      </c>
      <c r="E140" s="70" t="s">
        <v>286</v>
      </c>
      <c r="F140" s="74">
        <v>0.94089999999999996</v>
      </c>
      <c r="G140" s="70" t="s">
        <v>286</v>
      </c>
      <c r="H140" s="74">
        <v>0.10340000000000001</v>
      </c>
    </row>
    <row r="141" spans="1:8" ht="15.6">
      <c r="A141" s="468" t="s">
        <v>569</v>
      </c>
      <c r="B141" s="67">
        <v>66</v>
      </c>
      <c r="C141" s="69" t="s">
        <v>9</v>
      </c>
      <c r="D141" s="71" t="s">
        <v>45</v>
      </c>
      <c r="E141" s="70" t="s">
        <v>286</v>
      </c>
      <c r="F141" s="74">
        <v>0.70720000000000005</v>
      </c>
      <c r="G141" s="70" t="s">
        <v>286</v>
      </c>
      <c r="H141" s="74">
        <v>7.5200000000000003E-2</v>
      </c>
    </row>
    <row r="142" spans="1:8" ht="15.6">
      <c r="A142" s="468" t="s">
        <v>570</v>
      </c>
      <c r="B142" s="67">
        <v>67</v>
      </c>
      <c r="C142" s="69" t="s">
        <v>9</v>
      </c>
      <c r="D142" s="71" t="s">
        <v>27</v>
      </c>
      <c r="E142" s="70" t="s">
        <v>286</v>
      </c>
      <c r="F142" s="74">
        <v>0.85170000000000001</v>
      </c>
      <c r="G142" s="70" t="s">
        <v>286</v>
      </c>
      <c r="H142" s="74">
        <v>9.2600000000000002E-2</v>
      </c>
    </row>
    <row r="143" spans="1:8" ht="15.6">
      <c r="A143" s="468" t="s">
        <v>571</v>
      </c>
      <c r="B143" s="67">
        <v>68</v>
      </c>
      <c r="C143" s="69" t="s">
        <v>9</v>
      </c>
      <c r="D143" s="71" t="s">
        <v>21</v>
      </c>
      <c r="E143" s="70" t="s">
        <v>286</v>
      </c>
      <c r="F143" s="74">
        <v>0.97060000000000002</v>
      </c>
      <c r="G143" s="70" t="s">
        <v>286</v>
      </c>
      <c r="H143" s="74">
        <v>0.107</v>
      </c>
    </row>
    <row r="144" spans="1:8" ht="15.6">
      <c r="A144" s="468" t="s">
        <v>572</v>
      </c>
      <c r="B144" s="67">
        <v>69</v>
      </c>
      <c r="C144" s="69" t="s">
        <v>9</v>
      </c>
      <c r="D144" s="71" t="s">
        <v>32</v>
      </c>
      <c r="E144" s="70" t="s">
        <v>286</v>
      </c>
      <c r="F144" s="74">
        <v>0.80740000000000001</v>
      </c>
      <c r="G144" s="70" t="s">
        <v>286</v>
      </c>
      <c r="H144" s="74">
        <v>8.7300000000000003E-2</v>
      </c>
    </row>
    <row r="145" spans="1:8" ht="15.6">
      <c r="A145" s="468" t="s">
        <v>573</v>
      </c>
      <c r="B145" s="67">
        <v>70</v>
      </c>
      <c r="C145" s="69" t="s">
        <v>9</v>
      </c>
      <c r="D145" s="71" t="s">
        <v>30</v>
      </c>
      <c r="E145" s="70" t="s">
        <v>286</v>
      </c>
      <c r="F145" s="74">
        <v>1.2182999999999999</v>
      </c>
      <c r="G145" s="70" t="s">
        <v>286</v>
      </c>
      <c r="H145" s="74">
        <v>0.1268</v>
      </c>
    </row>
    <row r="146" spans="1:8" ht="15.6">
      <c r="A146" s="468" t="s">
        <v>574</v>
      </c>
      <c r="B146" s="67">
        <v>71</v>
      </c>
      <c r="C146" s="69" t="s">
        <v>9</v>
      </c>
      <c r="D146" s="71" t="s">
        <v>28</v>
      </c>
      <c r="E146" s="70" t="s">
        <v>286</v>
      </c>
      <c r="F146" s="74">
        <v>1.2637</v>
      </c>
      <c r="G146" s="70" t="s">
        <v>286</v>
      </c>
      <c r="H146" s="74">
        <v>0.13189999999999999</v>
      </c>
    </row>
    <row r="147" spans="1:8" ht="15.6">
      <c r="A147" s="468" t="s">
        <v>575</v>
      </c>
      <c r="B147" s="67">
        <v>72</v>
      </c>
      <c r="C147" s="69" t="s">
        <v>9</v>
      </c>
      <c r="D147" s="71" t="s">
        <v>79</v>
      </c>
      <c r="E147" s="70" t="s">
        <v>286</v>
      </c>
      <c r="F147" s="74">
        <v>1.2738</v>
      </c>
      <c r="G147" s="70" t="s">
        <v>286</v>
      </c>
      <c r="H147" s="74">
        <v>0.13300000000000001</v>
      </c>
    </row>
    <row r="148" spans="1:8" ht="15.6">
      <c r="A148" s="468" t="s">
        <v>576</v>
      </c>
      <c r="B148" s="67">
        <v>73</v>
      </c>
      <c r="C148" s="69" t="s">
        <v>9</v>
      </c>
      <c r="D148" s="71" t="s">
        <v>29</v>
      </c>
      <c r="E148" s="70" t="s">
        <v>286</v>
      </c>
      <c r="F148" s="74">
        <v>1.3980999999999999</v>
      </c>
      <c r="G148" s="70" t="s">
        <v>286</v>
      </c>
      <c r="H148" s="74">
        <v>0.14699999999999999</v>
      </c>
    </row>
    <row r="149" spans="1:8" ht="15.6">
      <c r="A149" s="468" t="s">
        <v>577</v>
      </c>
      <c r="B149" s="67">
        <v>74</v>
      </c>
      <c r="C149" s="69" t="s">
        <v>9</v>
      </c>
      <c r="D149" s="71" t="s">
        <v>43</v>
      </c>
      <c r="E149" s="70" t="s">
        <v>286</v>
      </c>
      <c r="F149" s="74">
        <v>1.2668999999999999</v>
      </c>
      <c r="G149" s="70" t="s">
        <v>286</v>
      </c>
      <c r="H149" s="74">
        <v>0.13220000000000001</v>
      </c>
    </row>
    <row r="150" spans="1:8" ht="15.6">
      <c r="A150" s="468" t="s">
        <v>578</v>
      </c>
      <c r="B150" s="67">
        <v>75</v>
      </c>
      <c r="C150" s="69" t="s">
        <v>9</v>
      </c>
      <c r="D150" s="71" t="s">
        <v>18</v>
      </c>
      <c r="E150" s="70" t="s">
        <v>286</v>
      </c>
      <c r="F150" s="74">
        <v>1.3023</v>
      </c>
      <c r="G150" s="70" t="s">
        <v>286</v>
      </c>
      <c r="H150" s="74">
        <v>0.13619999999999999</v>
      </c>
    </row>
    <row r="151" spans="1:8" ht="15.6">
      <c r="A151" s="468" t="s">
        <v>579</v>
      </c>
      <c r="B151" s="67">
        <v>76</v>
      </c>
      <c r="C151" s="69" t="s">
        <v>9</v>
      </c>
      <c r="D151" s="71" t="s">
        <v>76</v>
      </c>
      <c r="E151" s="70" t="s">
        <v>286</v>
      </c>
      <c r="F151" s="74">
        <v>1.2668999999999999</v>
      </c>
      <c r="G151" s="70" t="s">
        <v>286</v>
      </c>
      <c r="H151" s="74">
        <v>0.13220000000000001</v>
      </c>
    </row>
    <row r="152" spans="1:8" ht="15.6">
      <c r="A152" s="468" t="s">
        <v>580</v>
      </c>
      <c r="B152" s="67">
        <v>77</v>
      </c>
      <c r="C152" s="69" t="s">
        <v>9</v>
      </c>
      <c r="D152" s="71" t="s">
        <v>19</v>
      </c>
      <c r="E152" s="70" t="s">
        <v>286</v>
      </c>
      <c r="F152" s="74">
        <v>1.3580000000000001</v>
      </c>
      <c r="G152" s="70" t="s">
        <v>286</v>
      </c>
      <c r="H152" s="74">
        <v>0.14249999999999999</v>
      </c>
    </row>
    <row r="153" spans="1:8" ht="15.6">
      <c r="A153" s="468" t="s">
        <v>581</v>
      </c>
      <c r="B153" s="67">
        <v>1</v>
      </c>
      <c r="C153" s="69" t="s">
        <v>9</v>
      </c>
      <c r="D153" s="71" t="s">
        <v>23</v>
      </c>
      <c r="E153" s="70" t="s">
        <v>286</v>
      </c>
      <c r="F153" s="74">
        <v>1.4370000000000001</v>
      </c>
      <c r="G153" s="70" t="s">
        <v>286</v>
      </c>
      <c r="H153" s="74">
        <v>0.15129999999999999</v>
      </c>
    </row>
    <row r="154" spans="1:8" ht="15.6">
      <c r="A154" s="468" t="s">
        <v>582</v>
      </c>
      <c r="B154" s="67">
        <v>2</v>
      </c>
      <c r="C154" s="69" t="s">
        <v>9</v>
      </c>
      <c r="D154" s="71" t="s">
        <v>20</v>
      </c>
      <c r="E154" s="70" t="s">
        <v>286</v>
      </c>
      <c r="F154" s="74">
        <v>1.4907999999999999</v>
      </c>
      <c r="G154" s="70" t="s">
        <v>286</v>
      </c>
      <c r="H154" s="74">
        <v>0.15740000000000001</v>
      </c>
    </row>
    <row r="155" spans="1:8" ht="15.6">
      <c r="A155" s="468" t="s">
        <v>583</v>
      </c>
      <c r="B155" s="67">
        <v>3</v>
      </c>
      <c r="C155" s="69" t="s">
        <v>9</v>
      </c>
      <c r="D155" s="71" t="s">
        <v>53</v>
      </c>
      <c r="E155" s="70" t="s">
        <v>286</v>
      </c>
      <c r="F155" s="74">
        <v>1.1317999999999999</v>
      </c>
      <c r="G155" s="70" t="s">
        <v>286</v>
      </c>
      <c r="H155" s="74">
        <v>0.11700000000000001</v>
      </c>
    </row>
    <row r="156" spans="1:8" ht="15.6">
      <c r="A156" s="468" t="s">
        <v>584</v>
      </c>
      <c r="B156" s="67">
        <v>4</v>
      </c>
      <c r="C156" s="69" t="s">
        <v>9</v>
      </c>
      <c r="D156" s="71" t="s">
        <v>41</v>
      </c>
      <c r="E156" s="70" t="s">
        <v>286</v>
      </c>
      <c r="F156" s="74">
        <v>1.1295999999999999</v>
      </c>
      <c r="G156" s="70" t="s">
        <v>286</v>
      </c>
      <c r="H156" s="74">
        <v>0.1168</v>
      </c>
    </row>
    <row r="157" spans="1:8" ht="15.6">
      <c r="A157" s="468" t="s">
        <v>585</v>
      </c>
      <c r="B157" s="67">
        <v>5</v>
      </c>
      <c r="C157" s="69" t="s">
        <v>9</v>
      </c>
      <c r="D157" s="71" t="s">
        <v>36</v>
      </c>
      <c r="E157" s="70" t="s">
        <v>286</v>
      </c>
      <c r="F157" s="74">
        <v>1.3119000000000001</v>
      </c>
      <c r="G157" s="70" t="s">
        <v>286</v>
      </c>
      <c r="H157" s="74">
        <v>0.13730000000000001</v>
      </c>
    </row>
    <row r="158" spans="1:8" ht="15.6">
      <c r="A158" s="468" t="s">
        <v>586</v>
      </c>
      <c r="B158" s="67">
        <v>6</v>
      </c>
      <c r="C158" s="69" t="s">
        <v>9</v>
      </c>
      <c r="D158" s="71" t="s">
        <v>15</v>
      </c>
      <c r="E158" s="70" t="s">
        <v>286</v>
      </c>
      <c r="F158" s="74">
        <v>1.3903000000000001</v>
      </c>
      <c r="G158" s="70" t="s">
        <v>286</v>
      </c>
      <c r="H158" s="74">
        <v>0.14610000000000001</v>
      </c>
    </row>
    <row r="159" spans="1:8" ht="15.6">
      <c r="A159" s="468" t="s">
        <v>587</v>
      </c>
      <c r="B159" s="67">
        <v>7</v>
      </c>
      <c r="C159" s="69" t="s">
        <v>9</v>
      </c>
      <c r="D159" s="71" t="s">
        <v>16</v>
      </c>
      <c r="E159" s="70" t="s">
        <v>286</v>
      </c>
      <c r="F159" s="74">
        <v>1.6024</v>
      </c>
      <c r="G159" s="70" t="s">
        <v>286</v>
      </c>
      <c r="H159" s="74">
        <v>0.1699</v>
      </c>
    </row>
    <row r="160" spans="1:8" ht="15.6">
      <c r="A160" s="468" t="s">
        <v>588</v>
      </c>
      <c r="B160" s="67">
        <v>8</v>
      </c>
      <c r="C160" s="69" t="s">
        <v>9</v>
      </c>
      <c r="D160" s="71" t="s">
        <v>17</v>
      </c>
      <c r="E160" s="70" t="s">
        <v>286</v>
      </c>
      <c r="F160" s="74">
        <v>0.17199999999999999</v>
      </c>
      <c r="G160" s="70" t="s">
        <v>286</v>
      </c>
      <c r="H160" s="74">
        <v>1.06E-2</v>
      </c>
    </row>
    <row r="161" spans="1:8" ht="15.6">
      <c r="A161" s="468" t="s">
        <v>589</v>
      </c>
      <c r="B161" s="67">
        <v>9</v>
      </c>
      <c r="C161" s="69" t="s">
        <v>9</v>
      </c>
      <c r="D161" s="71" t="s">
        <v>10</v>
      </c>
      <c r="E161" s="70" t="s">
        <v>286</v>
      </c>
      <c r="F161" s="74">
        <v>0.17199999999999999</v>
      </c>
      <c r="G161" s="70" t="s">
        <v>286</v>
      </c>
      <c r="H161" s="74">
        <v>1.06E-2</v>
      </c>
    </row>
    <row r="162" spans="1:8" ht="15.6">
      <c r="A162" s="468" t="s">
        <v>590</v>
      </c>
      <c r="B162" s="67">
        <v>10</v>
      </c>
      <c r="C162" s="69" t="s">
        <v>9</v>
      </c>
      <c r="D162" s="71" t="s">
        <v>22</v>
      </c>
      <c r="E162" s="70" t="s">
        <v>286</v>
      </c>
      <c r="F162" s="74">
        <v>1.3705000000000001</v>
      </c>
      <c r="G162" s="70" t="s">
        <v>286</v>
      </c>
      <c r="H162" s="74">
        <v>0.1439</v>
      </c>
    </row>
    <row r="163" spans="1:8" ht="15.6">
      <c r="A163" s="468" t="s">
        <v>591</v>
      </c>
      <c r="B163" s="67">
        <v>11</v>
      </c>
      <c r="C163" s="69" t="s">
        <v>9</v>
      </c>
      <c r="D163" s="71" t="s">
        <v>35</v>
      </c>
      <c r="E163" s="70" t="s">
        <v>286</v>
      </c>
      <c r="F163" s="74">
        <v>1.2442</v>
      </c>
      <c r="G163" s="70" t="s">
        <v>286</v>
      </c>
      <c r="H163" s="74">
        <v>0.12970000000000001</v>
      </c>
    </row>
    <row r="164" spans="1:8" ht="15.6">
      <c r="A164" s="468" t="s">
        <v>592</v>
      </c>
      <c r="B164" s="67">
        <v>12</v>
      </c>
      <c r="C164" s="69" t="s">
        <v>9</v>
      </c>
      <c r="D164" s="71" t="s">
        <v>24</v>
      </c>
      <c r="E164" s="70" t="s">
        <v>286</v>
      </c>
      <c r="F164" s="74">
        <v>1.4818</v>
      </c>
      <c r="G164" s="70" t="s">
        <v>286</v>
      </c>
      <c r="H164" s="74">
        <v>0.15640000000000001</v>
      </c>
    </row>
    <row r="165" spans="1:8" ht="15.6">
      <c r="A165" s="468" t="s">
        <v>593</v>
      </c>
      <c r="B165" s="67">
        <v>13</v>
      </c>
      <c r="C165" s="69" t="s">
        <v>9</v>
      </c>
      <c r="D165" s="71" t="s">
        <v>37</v>
      </c>
      <c r="E165" s="70" t="s">
        <v>286</v>
      </c>
      <c r="F165" s="74">
        <v>1.3105</v>
      </c>
      <c r="G165" s="70" t="s">
        <v>286</v>
      </c>
      <c r="H165" s="74">
        <v>0.1371</v>
      </c>
    </row>
    <row r="166" spans="1:8" ht="15.6">
      <c r="A166" s="468" t="s">
        <v>594</v>
      </c>
      <c r="B166" s="67">
        <v>14</v>
      </c>
      <c r="C166" s="69" t="s">
        <v>9</v>
      </c>
      <c r="D166" s="71" t="s">
        <v>38</v>
      </c>
      <c r="E166" s="70" t="s">
        <v>286</v>
      </c>
      <c r="F166" s="74">
        <v>1.0373000000000001</v>
      </c>
      <c r="G166" s="70" t="s">
        <v>286</v>
      </c>
      <c r="H166" s="74">
        <v>0.115</v>
      </c>
    </row>
    <row r="167" spans="1:8" ht="15.6">
      <c r="A167" s="468" t="s">
        <v>595</v>
      </c>
      <c r="B167" s="67">
        <v>15</v>
      </c>
      <c r="C167" s="69" t="s">
        <v>9</v>
      </c>
      <c r="D167" s="71" t="s">
        <v>26</v>
      </c>
      <c r="E167" s="70" t="s">
        <v>286</v>
      </c>
      <c r="F167" s="74">
        <v>1.4922</v>
      </c>
      <c r="G167" s="70" t="s">
        <v>286</v>
      </c>
      <c r="H167" s="74">
        <v>0.1575</v>
      </c>
    </row>
    <row r="168" spans="1:8" ht="15.6">
      <c r="A168" s="468" t="s">
        <v>596</v>
      </c>
      <c r="B168" s="67">
        <v>16</v>
      </c>
      <c r="C168" s="69" t="s">
        <v>9</v>
      </c>
      <c r="D168" s="71" t="s">
        <v>52</v>
      </c>
      <c r="E168" s="70" t="s">
        <v>286</v>
      </c>
      <c r="F168" s="74">
        <v>0.16120000000000001</v>
      </c>
      <c r="G168" s="70" t="s">
        <v>286</v>
      </c>
      <c r="H168" s="74">
        <v>9.2999999999999992E-3</v>
      </c>
    </row>
    <row r="169" spans="1:8" ht="15.6">
      <c r="A169" s="468" t="s">
        <v>597</v>
      </c>
      <c r="B169" s="67">
        <v>17</v>
      </c>
      <c r="C169" s="69" t="s">
        <v>9</v>
      </c>
      <c r="D169" s="71" t="s">
        <v>40</v>
      </c>
      <c r="E169" s="70" t="s">
        <v>286</v>
      </c>
      <c r="F169" s="74">
        <v>1.0407999999999999</v>
      </c>
      <c r="G169" s="70" t="s">
        <v>286</v>
      </c>
      <c r="H169" s="74">
        <v>0.1154</v>
      </c>
    </row>
    <row r="170" spans="1:8" ht="15.6">
      <c r="A170" s="468" t="s">
        <v>598</v>
      </c>
      <c r="B170" s="67">
        <v>18</v>
      </c>
      <c r="C170" s="69" t="s">
        <v>9</v>
      </c>
      <c r="D170" s="71" t="s">
        <v>34</v>
      </c>
      <c r="E170" s="70" t="s">
        <v>286</v>
      </c>
      <c r="F170" s="74">
        <v>0.2424</v>
      </c>
      <c r="G170" s="70" t="s">
        <v>286</v>
      </c>
      <c r="H170" s="74">
        <v>1.9099999999999999E-2</v>
      </c>
    </row>
    <row r="171" spans="1:8" ht="15.6">
      <c r="A171" s="468" t="s">
        <v>599</v>
      </c>
      <c r="B171" s="67">
        <v>19</v>
      </c>
      <c r="C171" s="69" t="s">
        <v>9</v>
      </c>
      <c r="D171" s="71" t="s">
        <v>54</v>
      </c>
      <c r="E171" s="70" t="s">
        <v>286</v>
      </c>
      <c r="F171" s="74">
        <v>1.1317999999999999</v>
      </c>
      <c r="G171" s="70" t="s">
        <v>286</v>
      </c>
      <c r="H171" s="74">
        <v>0.11700000000000001</v>
      </c>
    </row>
    <row r="172" spans="1:8" ht="15.6">
      <c r="A172" s="468" t="s">
        <v>600</v>
      </c>
      <c r="B172" s="67">
        <v>20</v>
      </c>
      <c r="C172" s="69" t="s">
        <v>13</v>
      </c>
      <c r="D172" s="71" t="s">
        <v>12</v>
      </c>
      <c r="E172" s="70" t="s">
        <v>286</v>
      </c>
      <c r="F172" s="74">
        <v>0.432</v>
      </c>
      <c r="G172" s="70" t="s">
        <v>286</v>
      </c>
      <c r="H172" s="74">
        <v>4.2000000000000003E-2</v>
      </c>
    </row>
    <row r="173" spans="1:8" ht="15.6">
      <c r="A173" s="468" t="s">
        <v>601</v>
      </c>
      <c r="B173" s="67">
        <v>21</v>
      </c>
      <c r="C173" s="69" t="s">
        <v>13</v>
      </c>
      <c r="D173" s="71" t="s">
        <v>51</v>
      </c>
      <c r="E173" s="70" t="s">
        <v>286</v>
      </c>
      <c r="F173" s="74">
        <v>0.1913</v>
      </c>
      <c r="G173" s="70" t="s">
        <v>286</v>
      </c>
      <c r="H173" s="74">
        <v>1.2999999999999999E-2</v>
      </c>
    </row>
    <row r="174" spans="1:8" ht="15.6">
      <c r="A174" s="468" t="s">
        <v>602</v>
      </c>
      <c r="B174" s="67">
        <v>22</v>
      </c>
      <c r="C174" s="69" t="s">
        <v>13</v>
      </c>
      <c r="D174" s="71" t="s">
        <v>13</v>
      </c>
      <c r="E174" s="70" t="s">
        <v>286</v>
      </c>
      <c r="F174" s="74">
        <v>9.2700000000000005E-2</v>
      </c>
      <c r="G174" s="70" t="s">
        <v>286</v>
      </c>
      <c r="H174" s="74">
        <v>1.1000000000000001E-3</v>
      </c>
    </row>
    <row r="175" spans="1:8" ht="15.6">
      <c r="A175" s="468" t="s">
        <v>603</v>
      </c>
      <c r="B175" s="67">
        <v>23</v>
      </c>
      <c r="C175" s="69" t="s">
        <v>13</v>
      </c>
      <c r="D175" s="71" t="s">
        <v>9</v>
      </c>
      <c r="E175" s="70" t="s">
        <v>286</v>
      </c>
      <c r="F175" s="74">
        <v>0.2424</v>
      </c>
      <c r="G175" s="70" t="s">
        <v>286</v>
      </c>
      <c r="H175" s="74">
        <v>1.9099999999999999E-2</v>
      </c>
    </row>
    <row r="176" spans="1:8" ht="15.6">
      <c r="A176" s="468" t="s">
        <v>604</v>
      </c>
      <c r="B176" s="67">
        <v>24</v>
      </c>
      <c r="C176" s="69" t="s">
        <v>13</v>
      </c>
      <c r="D176" s="71" t="s">
        <v>14</v>
      </c>
      <c r="E176" s="70" t="s">
        <v>286</v>
      </c>
      <c r="F176" s="74">
        <v>0.30940000000000001</v>
      </c>
      <c r="G176" s="70" t="s">
        <v>286</v>
      </c>
      <c r="H176" s="74">
        <v>2.7199999999999998E-2</v>
      </c>
    </row>
    <row r="177" spans="1:8" ht="15.6">
      <c r="A177" s="468" t="s">
        <v>605</v>
      </c>
      <c r="B177" s="67">
        <v>25</v>
      </c>
      <c r="C177" s="69" t="s">
        <v>13</v>
      </c>
      <c r="D177" s="71" t="s">
        <v>33</v>
      </c>
      <c r="E177" s="70" t="s">
        <v>286</v>
      </c>
      <c r="F177" s="74">
        <v>0.58950000000000002</v>
      </c>
      <c r="G177" s="70" t="s">
        <v>286</v>
      </c>
      <c r="H177" s="74">
        <v>6.0999999999999999E-2</v>
      </c>
    </row>
    <row r="178" spans="1:8" ht="15.6">
      <c r="A178" s="468" t="s">
        <v>606</v>
      </c>
      <c r="B178" s="67">
        <v>26</v>
      </c>
      <c r="C178" s="69" t="s">
        <v>13</v>
      </c>
      <c r="D178" s="71" t="s">
        <v>25</v>
      </c>
      <c r="E178" s="70" t="s">
        <v>286</v>
      </c>
      <c r="F178" s="74">
        <v>0.67200000000000004</v>
      </c>
      <c r="G178" s="70" t="s">
        <v>286</v>
      </c>
      <c r="H178" s="74">
        <v>7.0999999999999994E-2</v>
      </c>
    </row>
    <row r="179" spans="1:8" ht="15.6">
      <c r="A179" s="468" t="s">
        <v>607</v>
      </c>
      <c r="B179" s="67">
        <v>27</v>
      </c>
      <c r="C179" s="69" t="s">
        <v>13</v>
      </c>
      <c r="D179" s="71" t="s">
        <v>31</v>
      </c>
      <c r="E179" s="70" t="s">
        <v>286</v>
      </c>
      <c r="F179" s="74">
        <v>1.0892999999999999</v>
      </c>
      <c r="G179" s="70" t="s">
        <v>286</v>
      </c>
      <c r="H179" s="74">
        <v>0.12130000000000001</v>
      </c>
    </row>
    <row r="180" spans="1:8" ht="15.6">
      <c r="A180" s="468" t="s">
        <v>608</v>
      </c>
      <c r="B180" s="67">
        <v>28</v>
      </c>
      <c r="C180" s="69" t="s">
        <v>13</v>
      </c>
      <c r="D180" s="71" t="s">
        <v>45</v>
      </c>
      <c r="E180" s="70" t="s">
        <v>286</v>
      </c>
      <c r="F180" s="74">
        <v>0.85550000000000004</v>
      </c>
      <c r="G180" s="70" t="s">
        <v>286</v>
      </c>
      <c r="H180" s="74">
        <v>9.3100000000000002E-2</v>
      </c>
    </row>
    <row r="181" spans="1:8" ht="15.6">
      <c r="A181" s="468" t="s">
        <v>609</v>
      </c>
      <c r="B181" s="67">
        <v>29</v>
      </c>
      <c r="C181" s="69" t="s">
        <v>13</v>
      </c>
      <c r="D181" s="71" t="s">
        <v>27</v>
      </c>
      <c r="E181" s="70" t="s">
        <v>286</v>
      </c>
      <c r="F181" s="74">
        <v>0.99990000000000001</v>
      </c>
      <c r="G181" s="70" t="s">
        <v>286</v>
      </c>
      <c r="H181" s="74">
        <v>0.1105</v>
      </c>
    </row>
    <row r="182" spans="1:8" ht="15.6">
      <c r="A182" s="468" t="s">
        <v>610</v>
      </c>
      <c r="B182" s="67">
        <v>30</v>
      </c>
      <c r="C182" s="69" t="s">
        <v>13</v>
      </c>
      <c r="D182" s="71" t="s">
        <v>21</v>
      </c>
      <c r="E182" s="70" t="s">
        <v>286</v>
      </c>
      <c r="F182" s="74">
        <v>1.1188</v>
      </c>
      <c r="G182" s="70" t="s">
        <v>286</v>
      </c>
      <c r="H182" s="74">
        <v>0.1249</v>
      </c>
    </row>
    <row r="183" spans="1:8" ht="15.6">
      <c r="A183" s="468" t="s">
        <v>611</v>
      </c>
      <c r="B183" s="67">
        <v>31</v>
      </c>
      <c r="C183" s="69" t="s">
        <v>13</v>
      </c>
      <c r="D183" s="71" t="s">
        <v>32</v>
      </c>
      <c r="E183" s="70" t="s">
        <v>286</v>
      </c>
      <c r="F183" s="74">
        <v>0.95650000000000002</v>
      </c>
      <c r="G183" s="70" t="s">
        <v>286</v>
      </c>
      <c r="H183" s="74">
        <v>0.1053</v>
      </c>
    </row>
    <row r="184" spans="1:8" ht="15.6">
      <c r="A184" s="468" t="s">
        <v>612</v>
      </c>
      <c r="B184" s="67">
        <v>32</v>
      </c>
      <c r="C184" s="69" t="s">
        <v>13</v>
      </c>
      <c r="D184" s="71" t="s">
        <v>30</v>
      </c>
      <c r="E184" s="70" t="s">
        <v>286</v>
      </c>
      <c r="F184" s="74">
        <v>1.3774999999999999</v>
      </c>
      <c r="G184" s="70" t="s">
        <v>286</v>
      </c>
      <c r="H184" s="74">
        <v>0.1447</v>
      </c>
    </row>
    <row r="185" spans="1:8" ht="15.6">
      <c r="A185" s="468" t="s">
        <v>613</v>
      </c>
      <c r="B185" s="67">
        <v>33</v>
      </c>
      <c r="C185" s="69" t="s">
        <v>13</v>
      </c>
      <c r="D185" s="71" t="s">
        <v>28</v>
      </c>
      <c r="E185" s="70" t="s">
        <v>286</v>
      </c>
      <c r="F185" s="74">
        <v>1.4238</v>
      </c>
      <c r="G185" s="70" t="s">
        <v>286</v>
      </c>
      <c r="H185" s="74">
        <v>0.14990000000000001</v>
      </c>
    </row>
    <row r="186" spans="1:8" ht="15.6">
      <c r="A186" s="468" t="s">
        <v>614</v>
      </c>
      <c r="B186" s="67">
        <v>34</v>
      </c>
      <c r="C186" s="69" t="s">
        <v>13</v>
      </c>
      <c r="D186" s="71" t="s">
        <v>79</v>
      </c>
      <c r="E186" s="70" t="s">
        <v>286</v>
      </c>
      <c r="F186" s="74">
        <v>1.4339</v>
      </c>
      <c r="G186" s="70" t="s">
        <v>286</v>
      </c>
      <c r="H186" s="74">
        <v>0.151</v>
      </c>
    </row>
    <row r="187" spans="1:8" ht="15.6">
      <c r="A187" s="468" t="s">
        <v>615</v>
      </c>
      <c r="B187" s="67">
        <v>35</v>
      </c>
      <c r="C187" s="69" t="s">
        <v>13</v>
      </c>
      <c r="D187" s="71" t="s">
        <v>29</v>
      </c>
      <c r="E187" s="70" t="s">
        <v>286</v>
      </c>
      <c r="F187" s="74">
        <v>1.5582</v>
      </c>
      <c r="G187" s="70" t="s">
        <v>286</v>
      </c>
      <c r="H187" s="74">
        <v>0.16500000000000001</v>
      </c>
    </row>
    <row r="188" spans="1:8" ht="15.6">
      <c r="A188" s="468" t="s">
        <v>616</v>
      </c>
      <c r="B188" s="67">
        <v>36</v>
      </c>
      <c r="C188" s="69" t="s">
        <v>13</v>
      </c>
      <c r="D188" s="71" t="s">
        <v>43</v>
      </c>
      <c r="E188" s="70" t="s">
        <v>286</v>
      </c>
      <c r="F188" s="74">
        <v>1.4271</v>
      </c>
      <c r="G188" s="70" t="s">
        <v>286</v>
      </c>
      <c r="H188" s="74">
        <v>0.1502</v>
      </c>
    </row>
    <row r="189" spans="1:8" ht="15.6">
      <c r="A189" s="468" t="s">
        <v>617</v>
      </c>
      <c r="B189" s="67">
        <v>37</v>
      </c>
      <c r="C189" s="69" t="s">
        <v>13</v>
      </c>
      <c r="D189" s="71" t="s">
        <v>18</v>
      </c>
      <c r="E189" s="70" t="s">
        <v>286</v>
      </c>
      <c r="F189" s="74">
        <v>1.4626999999999999</v>
      </c>
      <c r="G189" s="70" t="s">
        <v>286</v>
      </c>
      <c r="H189" s="74">
        <v>0.1542</v>
      </c>
    </row>
    <row r="190" spans="1:8" ht="15.6">
      <c r="A190" s="468" t="s">
        <v>618</v>
      </c>
      <c r="B190" s="67">
        <v>38</v>
      </c>
      <c r="C190" s="69" t="s">
        <v>13</v>
      </c>
      <c r="D190" s="71" t="s">
        <v>76</v>
      </c>
      <c r="E190" s="70" t="s">
        <v>286</v>
      </c>
      <c r="F190" s="74">
        <v>1.4271</v>
      </c>
      <c r="G190" s="70" t="s">
        <v>286</v>
      </c>
      <c r="H190" s="74">
        <v>0.1502</v>
      </c>
    </row>
    <row r="191" spans="1:8" ht="15.6">
      <c r="A191" s="468" t="s">
        <v>619</v>
      </c>
      <c r="B191" s="67">
        <v>39</v>
      </c>
      <c r="C191" s="69" t="s">
        <v>13</v>
      </c>
      <c r="D191" s="71" t="s">
        <v>19</v>
      </c>
      <c r="E191" s="70" t="s">
        <v>286</v>
      </c>
      <c r="F191" s="74">
        <v>1.5174000000000001</v>
      </c>
      <c r="G191" s="70" t="s">
        <v>286</v>
      </c>
      <c r="H191" s="74">
        <v>0.16039999999999999</v>
      </c>
    </row>
    <row r="192" spans="1:8" ht="15.6">
      <c r="A192" s="468" t="s">
        <v>620</v>
      </c>
      <c r="B192" s="67">
        <v>40</v>
      </c>
      <c r="C192" s="69" t="s">
        <v>13</v>
      </c>
      <c r="D192" s="71" t="s">
        <v>23</v>
      </c>
      <c r="E192" s="70" t="s">
        <v>286</v>
      </c>
      <c r="F192" s="74">
        <v>1.5973999999999999</v>
      </c>
      <c r="G192" s="70" t="s">
        <v>286</v>
      </c>
      <c r="H192" s="74">
        <v>0.1694</v>
      </c>
    </row>
    <row r="193" spans="1:8" ht="15.6">
      <c r="A193" s="468" t="s">
        <v>621</v>
      </c>
      <c r="B193" s="67">
        <v>41</v>
      </c>
      <c r="C193" s="69" t="s">
        <v>13</v>
      </c>
      <c r="D193" s="71" t="s">
        <v>20</v>
      </c>
      <c r="E193" s="70" t="s">
        <v>286</v>
      </c>
      <c r="F193" s="74">
        <v>1.6500999999999999</v>
      </c>
      <c r="G193" s="70" t="s">
        <v>286</v>
      </c>
      <c r="H193" s="74">
        <v>0.17530000000000001</v>
      </c>
    </row>
    <row r="194" spans="1:8" ht="15.6">
      <c r="A194" s="468" t="s">
        <v>622</v>
      </c>
      <c r="B194" s="67">
        <v>42</v>
      </c>
      <c r="C194" s="69" t="s">
        <v>13</v>
      </c>
      <c r="D194" s="71" t="s">
        <v>53</v>
      </c>
      <c r="E194" s="70" t="s">
        <v>286</v>
      </c>
      <c r="F194" s="74">
        <v>1.2919</v>
      </c>
      <c r="G194" s="70" t="s">
        <v>286</v>
      </c>
      <c r="H194" s="74">
        <v>0.13500000000000001</v>
      </c>
    </row>
    <row r="195" spans="1:8" ht="15.6">
      <c r="A195" s="468" t="s">
        <v>623</v>
      </c>
      <c r="B195" s="67">
        <v>43</v>
      </c>
      <c r="C195" s="69" t="s">
        <v>13</v>
      </c>
      <c r="D195" s="71" t="s">
        <v>41</v>
      </c>
      <c r="E195" s="70" t="s">
        <v>286</v>
      </c>
      <c r="F195" s="74">
        <v>1.2898000000000001</v>
      </c>
      <c r="G195" s="70" t="s">
        <v>286</v>
      </c>
      <c r="H195" s="74">
        <v>0.1348</v>
      </c>
    </row>
    <row r="196" spans="1:8" ht="15.6">
      <c r="A196" s="468" t="s">
        <v>624</v>
      </c>
      <c r="B196" s="67">
        <v>44</v>
      </c>
      <c r="C196" s="69" t="s">
        <v>13</v>
      </c>
      <c r="D196" s="71" t="s">
        <v>36</v>
      </c>
      <c r="E196" s="70" t="s">
        <v>286</v>
      </c>
      <c r="F196" s="74">
        <v>1.4721</v>
      </c>
      <c r="G196" s="70" t="s">
        <v>286</v>
      </c>
      <c r="H196" s="74">
        <v>0.15529999999999999</v>
      </c>
    </row>
    <row r="197" spans="1:8" ht="15.6">
      <c r="A197" s="468" t="s">
        <v>625</v>
      </c>
      <c r="B197" s="67">
        <v>45</v>
      </c>
      <c r="C197" s="69" t="s">
        <v>13</v>
      </c>
      <c r="D197" s="71" t="s">
        <v>15</v>
      </c>
      <c r="E197" s="70" t="s">
        <v>286</v>
      </c>
      <c r="F197" s="74">
        <v>1.5495000000000001</v>
      </c>
      <c r="G197" s="70" t="s">
        <v>286</v>
      </c>
      <c r="H197" s="74">
        <v>0.16400000000000001</v>
      </c>
    </row>
    <row r="198" spans="1:8" ht="15.6">
      <c r="A198" s="468" t="s">
        <v>626</v>
      </c>
      <c r="B198" s="67">
        <v>46</v>
      </c>
      <c r="C198" s="69" t="s">
        <v>13</v>
      </c>
      <c r="D198" s="71" t="s">
        <v>16</v>
      </c>
      <c r="E198" s="70" t="s">
        <v>286</v>
      </c>
      <c r="F198" s="74">
        <v>1.7616000000000001</v>
      </c>
      <c r="G198" s="70" t="s">
        <v>286</v>
      </c>
      <c r="H198" s="74">
        <v>0.18779999999999999</v>
      </c>
    </row>
    <row r="199" spans="1:8" ht="15.6">
      <c r="A199" s="468" t="s">
        <v>627</v>
      </c>
      <c r="B199" s="67">
        <v>47</v>
      </c>
      <c r="C199" s="69" t="s">
        <v>13</v>
      </c>
      <c r="D199" s="71" t="s">
        <v>17</v>
      </c>
      <c r="E199" s="70" t="s">
        <v>286</v>
      </c>
      <c r="F199" s="74">
        <v>0.3211</v>
      </c>
      <c r="G199" s="70" t="s">
        <v>286</v>
      </c>
      <c r="H199" s="74">
        <v>2.86E-2</v>
      </c>
    </row>
    <row r="200" spans="1:8" ht="15.6">
      <c r="A200" s="468" t="s">
        <v>628</v>
      </c>
      <c r="B200" s="67">
        <v>48</v>
      </c>
      <c r="C200" s="69" t="s">
        <v>13</v>
      </c>
      <c r="D200" s="71" t="s">
        <v>10</v>
      </c>
      <c r="E200" s="70" t="s">
        <v>286</v>
      </c>
      <c r="F200" s="74">
        <v>0.3211</v>
      </c>
      <c r="G200" s="70" t="s">
        <v>286</v>
      </c>
      <c r="H200" s="74">
        <v>2.86E-2</v>
      </c>
    </row>
    <row r="201" spans="1:8" ht="15.6">
      <c r="A201" s="468" t="s">
        <v>629</v>
      </c>
      <c r="B201" s="67">
        <v>49</v>
      </c>
      <c r="C201" s="69" t="s">
        <v>13</v>
      </c>
      <c r="D201" s="71" t="s">
        <v>22</v>
      </c>
      <c r="E201" s="70" t="s">
        <v>286</v>
      </c>
      <c r="F201" s="74">
        <v>1.5297000000000001</v>
      </c>
      <c r="G201" s="70" t="s">
        <v>286</v>
      </c>
      <c r="H201" s="74">
        <v>0.16170000000000001</v>
      </c>
    </row>
    <row r="202" spans="1:8" ht="15.6">
      <c r="A202" s="468" t="s">
        <v>630</v>
      </c>
      <c r="B202" s="67">
        <v>50</v>
      </c>
      <c r="C202" s="69" t="s">
        <v>13</v>
      </c>
      <c r="D202" s="71" t="s">
        <v>35</v>
      </c>
      <c r="E202" s="70" t="s">
        <v>286</v>
      </c>
      <c r="F202" s="74">
        <v>1.4043000000000001</v>
      </c>
      <c r="G202" s="70" t="s">
        <v>286</v>
      </c>
      <c r="H202" s="74">
        <v>0.1477</v>
      </c>
    </row>
    <row r="203" spans="1:8" ht="15.6">
      <c r="A203" s="468" t="s">
        <v>631</v>
      </c>
      <c r="B203" s="67">
        <v>51</v>
      </c>
      <c r="C203" s="69" t="s">
        <v>13</v>
      </c>
      <c r="D203" s="71" t="s">
        <v>24</v>
      </c>
      <c r="E203" s="70" t="s">
        <v>286</v>
      </c>
      <c r="F203" s="74">
        <v>1.641</v>
      </c>
      <c r="G203" s="70" t="s">
        <v>286</v>
      </c>
      <c r="H203" s="74">
        <v>0.17430000000000001</v>
      </c>
    </row>
    <row r="204" spans="1:8" ht="15.6">
      <c r="A204" s="468" t="s">
        <v>632</v>
      </c>
      <c r="B204" s="67">
        <v>52</v>
      </c>
      <c r="C204" s="69" t="s">
        <v>13</v>
      </c>
      <c r="D204" s="71" t="s">
        <v>37</v>
      </c>
      <c r="E204" s="70" t="s">
        <v>286</v>
      </c>
      <c r="F204" s="74">
        <v>1.4706999999999999</v>
      </c>
      <c r="G204" s="70" t="s">
        <v>286</v>
      </c>
      <c r="H204" s="74">
        <v>0.15509999999999999</v>
      </c>
    </row>
    <row r="205" spans="1:8" ht="15.6">
      <c r="A205" s="468" t="s">
        <v>633</v>
      </c>
      <c r="B205" s="67">
        <v>53</v>
      </c>
      <c r="C205" s="69" t="s">
        <v>13</v>
      </c>
      <c r="D205" s="71" t="s">
        <v>38</v>
      </c>
      <c r="E205" s="70" t="s">
        <v>286</v>
      </c>
      <c r="F205" s="74">
        <v>1.1856</v>
      </c>
      <c r="G205" s="70" t="s">
        <v>286</v>
      </c>
      <c r="H205" s="74">
        <v>0.13289999999999999</v>
      </c>
    </row>
    <row r="206" spans="1:8" ht="15.6">
      <c r="A206" s="468" t="s">
        <v>634</v>
      </c>
      <c r="B206" s="67">
        <v>54</v>
      </c>
      <c r="C206" s="69" t="s">
        <v>13</v>
      </c>
      <c r="D206" s="71" t="s">
        <v>26</v>
      </c>
      <c r="E206" s="70" t="s">
        <v>286</v>
      </c>
      <c r="F206" s="74">
        <v>1.6514</v>
      </c>
      <c r="G206" s="70" t="s">
        <v>286</v>
      </c>
      <c r="H206" s="74">
        <v>0.1754</v>
      </c>
    </row>
    <row r="207" spans="1:8" ht="15.6">
      <c r="A207" s="468" t="s">
        <v>635</v>
      </c>
      <c r="B207" s="67">
        <v>55</v>
      </c>
      <c r="C207" s="69" t="s">
        <v>13</v>
      </c>
      <c r="D207" s="71" t="s">
        <v>52</v>
      </c>
      <c r="E207" s="70" t="s">
        <v>286</v>
      </c>
      <c r="F207" s="74">
        <v>0.30940000000000001</v>
      </c>
      <c r="G207" s="70" t="s">
        <v>286</v>
      </c>
      <c r="H207" s="74">
        <v>2.7199999999999998E-2</v>
      </c>
    </row>
    <row r="208" spans="1:8" ht="15.6">
      <c r="A208" s="468" t="s">
        <v>636</v>
      </c>
      <c r="B208" s="67">
        <v>56</v>
      </c>
      <c r="C208" s="69" t="s">
        <v>13</v>
      </c>
      <c r="D208" s="71" t="s">
        <v>40</v>
      </c>
      <c r="E208" s="70" t="s">
        <v>286</v>
      </c>
      <c r="F208" s="74">
        <v>1.19</v>
      </c>
      <c r="G208" s="70" t="s">
        <v>286</v>
      </c>
      <c r="H208" s="74">
        <v>0.13339999999999999</v>
      </c>
    </row>
    <row r="209" spans="1:8" ht="15.6">
      <c r="A209" s="468" t="s">
        <v>637</v>
      </c>
      <c r="B209" s="67">
        <v>57</v>
      </c>
      <c r="C209" s="69" t="s">
        <v>13</v>
      </c>
      <c r="D209" s="71" t="s">
        <v>34</v>
      </c>
      <c r="E209" s="70" t="s">
        <v>286</v>
      </c>
      <c r="F209" s="74">
        <v>9.2700000000000005E-2</v>
      </c>
      <c r="G209" s="70" t="s">
        <v>286</v>
      </c>
      <c r="H209" s="74">
        <v>1.1000000000000001E-3</v>
      </c>
    </row>
    <row r="210" spans="1:8" ht="15.6">
      <c r="A210" s="468" t="s">
        <v>638</v>
      </c>
      <c r="B210" s="67">
        <v>58</v>
      </c>
      <c r="C210" s="69" t="s">
        <v>13</v>
      </c>
      <c r="D210" s="71" t="s">
        <v>54</v>
      </c>
      <c r="E210" s="70" t="s">
        <v>286</v>
      </c>
      <c r="F210" s="74">
        <v>1.2919</v>
      </c>
      <c r="G210" s="70" t="s">
        <v>286</v>
      </c>
      <c r="H210" s="74">
        <v>0.13500000000000001</v>
      </c>
    </row>
    <row r="211" spans="1:8" ht="15.6">
      <c r="A211" s="468" t="s">
        <v>639</v>
      </c>
      <c r="B211" s="67">
        <v>59</v>
      </c>
      <c r="C211" s="69" t="s">
        <v>14</v>
      </c>
      <c r="D211" s="71" t="s">
        <v>12</v>
      </c>
      <c r="E211" s="70" t="s">
        <v>286</v>
      </c>
      <c r="F211" s="74">
        <v>0.64870000000000005</v>
      </c>
      <c r="G211" s="70" t="s">
        <v>286</v>
      </c>
      <c r="H211" s="74">
        <v>6.8099999999999994E-2</v>
      </c>
    </row>
    <row r="212" spans="1:8" ht="15.6">
      <c r="A212" s="468" t="s">
        <v>640</v>
      </c>
      <c r="B212" s="67">
        <v>60</v>
      </c>
      <c r="C212" s="69" t="s">
        <v>14</v>
      </c>
      <c r="D212" s="71" t="s">
        <v>51</v>
      </c>
      <c r="E212" s="70" t="s">
        <v>286</v>
      </c>
      <c r="F212" s="74">
        <v>0.40799999999999997</v>
      </c>
      <c r="G212" s="70" t="s">
        <v>286</v>
      </c>
      <c r="H212" s="74">
        <v>3.9100000000000003E-2</v>
      </c>
    </row>
    <row r="213" spans="1:8" ht="15.6">
      <c r="A213" s="468" t="s">
        <v>641</v>
      </c>
      <c r="B213" s="67">
        <v>61</v>
      </c>
      <c r="C213" s="69" t="s">
        <v>14</v>
      </c>
      <c r="D213" s="71" t="s">
        <v>13</v>
      </c>
      <c r="E213" s="70" t="s">
        <v>286</v>
      </c>
      <c r="F213" s="74">
        <v>0.30940000000000001</v>
      </c>
      <c r="G213" s="70" t="s">
        <v>286</v>
      </c>
      <c r="H213" s="74">
        <v>2.7199999999999998E-2</v>
      </c>
    </row>
    <row r="214" spans="1:8" ht="15.6">
      <c r="A214" s="468" t="s">
        <v>642</v>
      </c>
      <c r="B214" s="67">
        <v>62</v>
      </c>
      <c r="C214" s="69" t="s">
        <v>14</v>
      </c>
      <c r="D214" s="71" t="s">
        <v>9</v>
      </c>
      <c r="E214" s="70" t="s">
        <v>286</v>
      </c>
      <c r="F214" s="74">
        <v>0.16120000000000001</v>
      </c>
      <c r="G214" s="70" t="s">
        <v>286</v>
      </c>
      <c r="H214" s="74">
        <v>9.2999999999999992E-3</v>
      </c>
    </row>
    <row r="215" spans="1:8" ht="15.6">
      <c r="A215" s="468" t="s">
        <v>643</v>
      </c>
      <c r="B215" s="67">
        <v>63</v>
      </c>
      <c r="C215" s="69" t="s">
        <v>14</v>
      </c>
      <c r="D215" s="71" t="s">
        <v>14</v>
      </c>
      <c r="E215" s="70" t="s">
        <v>286</v>
      </c>
      <c r="F215" s="74">
        <v>9.2700000000000005E-2</v>
      </c>
      <c r="G215" s="70" t="s">
        <v>286</v>
      </c>
      <c r="H215" s="74">
        <v>1.1000000000000001E-3</v>
      </c>
    </row>
    <row r="216" spans="1:8" ht="15.6">
      <c r="A216" s="468" t="s">
        <v>644</v>
      </c>
      <c r="B216" s="67">
        <v>64</v>
      </c>
      <c r="C216" s="69" t="s">
        <v>14</v>
      </c>
      <c r="D216" s="71" t="s">
        <v>33</v>
      </c>
      <c r="E216" s="70" t="s">
        <v>286</v>
      </c>
      <c r="F216" s="74">
        <v>0.37280000000000002</v>
      </c>
      <c r="G216" s="70" t="s">
        <v>286</v>
      </c>
      <c r="H216" s="74">
        <v>3.49E-2</v>
      </c>
    </row>
    <row r="217" spans="1:8" ht="15.6">
      <c r="A217" s="468" t="s">
        <v>645</v>
      </c>
      <c r="B217" s="67">
        <v>65</v>
      </c>
      <c r="C217" s="69" t="s">
        <v>14</v>
      </c>
      <c r="D217" s="71" t="s">
        <v>25</v>
      </c>
      <c r="E217" s="70" t="s">
        <v>286</v>
      </c>
      <c r="F217" s="74">
        <v>0.45529999999999998</v>
      </c>
      <c r="G217" s="70" t="s">
        <v>286</v>
      </c>
      <c r="H217" s="74">
        <v>4.48E-2</v>
      </c>
    </row>
    <row r="218" spans="1:8" ht="15.6">
      <c r="A218" s="468" t="s">
        <v>646</v>
      </c>
      <c r="B218" s="67">
        <v>66</v>
      </c>
      <c r="C218" s="69" t="s">
        <v>14</v>
      </c>
      <c r="D218" s="71" t="s">
        <v>31</v>
      </c>
      <c r="E218" s="70" t="s">
        <v>286</v>
      </c>
      <c r="F218" s="74">
        <v>0.87270000000000003</v>
      </c>
      <c r="G218" s="70" t="s">
        <v>286</v>
      </c>
      <c r="H218" s="74">
        <v>9.5200000000000007E-2</v>
      </c>
    </row>
    <row r="219" spans="1:8" ht="15.6">
      <c r="A219" s="468" t="s">
        <v>647</v>
      </c>
      <c r="B219" s="67">
        <v>67</v>
      </c>
      <c r="C219" s="69" t="s">
        <v>14</v>
      </c>
      <c r="D219" s="71" t="s">
        <v>45</v>
      </c>
      <c r="E219" s="70" t="s">
        <v>286</v>
      </c>
      <c r="F219" s="74">
        <v>0.63880000000000003</v>
      </c>
      <c r="G219" s="70" t="s">
        <v>286</v>
      </c>
      <c r="H219" s="74">
        <v>6.7000000000000004E-2</v>
      </c>
    </row>
    <row r="220" spans="1:8" ht="15.6">
      <c r="A220" s="468" t="s">
        <v>648</v>
      </c>
      <c r="B220" s="67">
        <v>68</v>
      </c>
      <c r="C220" s="69" t="s">
        <v>14</v>
      </c>
      <c r="D220" s="71" t="s">
        <v>27</v>
      </c>
      <c r="E220" s="70" t="s">
        <v>286</v>
      </c>
      <c r="F220" s="74">
        <v>0.78320000000000001</v>
      </c>
      <c r="G220" s="70" t="s">
        <v>286</v>
      </c>
      <c r="H220" s="74">
        <v>8.4400000000000003E-2</v>
      </c>
    </row>
    <row r="221" spans="1:8" ht="15.6">
      <c r="A221" s="468" t="s">
        <v>649</v>
      </c>
      <c r="B221" s="67">
        <v>69</v>
      </c>
      <c r="C221" s="69" t="s">
        <v>14</v>
      </c>
      <c r="D221" s="71" t="s">
        <v>21</v>
      </c>
      <c r="E221" s="70" t="s">
        <v>286</v>
      </c>
      <c r="F221" s="74">
        <v>0.90210000000000001</v>
      </c>
      <c r="G221" s="70" t="s">
        <v>286</v>
      </c>
      <c r="H221" s="74">
        <v>9.8699999999999996E-2</v>
      </c>
    </row>
    <row r="222" spans="1:8" ht="15.6">
      <c r="A222" s="468" t="s">
        <v>650</v>
      </c>
      <c r="B222" s="67">
        <v>70</v>
      </c>
      <c r="C222" s="69" t="s">
        <v>14</v>
      </c>
      <c r="D222" s="71" t="s">
        <v>32</v>
      </c>
      <c r="E222" s="70" t="s">
        <v>286</v>
      </c>
      <c r="F222" s="74">
        <v>0.80679999999999996</v>
      </c>
      <c r="G222" s="70" t="s">
        <v>286</v>
      </c>
      <c r="H222" s="74">
        <v>8.72E-2</v>
      </c>
    </row>
    <row r="223" spans="1:8" ht="15.6">
      <c r="A223" s="468" t="s">
        <v>651</v>
      </c>
      <c r="B223" s="67">
        <v>71</v>
      </c>
      <c r="C223" s="69" t="s">
        <v>14</v>
      </c>
      <c r="D223" s="71" t="s">
        <v>30</v>
      </c>
      <c r="E223" s="70" t="s">
        <v>286</v>
      </c>
      <c r="F223" s="74">
        <v>1.1448</v>
      </c>
      <c r="G223" s="70" t="s">
        <v>286</v>
      </c>
      <c r="H223" s="74">
        <v>0.11849999999999999</v>
      </c>
    </row>
    <row r="224" spans="1:8" ht="15.6">
      <c r="A224" s="468" t="s">
        <v>652</v>
      </c>
      <c r="B224" s="67">
        <v>72</v>
      </c>
      <c r="C224" s="69" t="s">
        <v>14</v>
      </c>
      <c r="D224" s="71" t="s">
        <v>28</v>
      </c>
      <c r="E224" s="70" t="s">
        <v>286</v>
      </c>
      <c r="F224" s="74">
        <v>1.2630999999999999</v>
      </c>
      <c r="G224" s="70" t="s">
        <v>286</v>
      </c>
      <c r="H224" s="74">
        <v>0.1318</v>
      </c>
    </row>
    <row r="225" spans="1:8" ht="15.6">
      <c r="A225" s="468" t="s">
        <v>653</v>
      </c>
      <c r="B225" s="67">
        <v>73</v>
      </c>
      <c r="C225" s="69" t="s">
        <v>14</v>
      </c>
      <c r="D225" s="71" t="s">
        <v>79</v>
      </c>
      <c r="E225" s="70" t="s">
        <v>286</v>
      </c>
      <c r="F225" s="74">
        <v>1.2613000000000001</v>
      </c>
      <c r="G225" s="70" t="s">
        <v>286</v>
      </c>
      <c r="H225" s="74">
        <v>0.13159999999999999</v>
      </c>
    </row>
    <row r="226" spans="1:8" ht="15.6">
      <c r="A226" s="468" t="s">
        <v>654</v>
      </c>
      <c r="B226" s="67">
        <v>74</v>
      </c>
      <c r="C226" s="69" t="s">
        <v>14</v>
      </c>
      <c r="D226" s="71" t="s">
        <v>29</v>
      </c>
      <c r="E226" s="70" t="s">
        <v>286</v>
      </c>
      <c r="F226" s="74">
        <v>1.3275999999999999</v>
      </c>
      <c r="G226" s="70" t="s">
        <v>286</v>
      </c>
      <c r="H226" s="74">
        <v>0.13900000000000001</v>
      </c>
    </row>
    <row r="227" spans="1:8" ht="15.6">
      <c r="A227" s="468" t="s">
        <v>655</v>
      </c>
      <c r="B227" s="67">
        <v>75</v>
      </c>
      <c r="C227" s="69" t="s">
        <v>14</v>
      </c>
      <c r="D227" s="71" t="s">
        <v>43</v>
      </c>
      <c r="E227" s="70" t="s">
        <v>286</v>
      </c>
      <c r="F227" s="74">
        <v>1.2544999999999999</v>
      </c>
      <c r="G227" s="70" t="s">
        <v>286</v>
      </c>
      <c r="H227" s="74">
        <v>0.1308</v>
      </c>
    </row>
    <row r="228" spans="1:8" ht="15.6">
      <c r="A228" s="468" t="s">
        <v>656</v>
      </c>
      <c r="B228" s="67">
        <v>76</v>
      </c>
      <c r="C228" s="69" t="s">
        <v>14</v>
      </c>
      <c r="D228" s="71" t="s">
        <v>18</v>
      </c>
      <c r="E228" s="70" t="s">
        <v>286</v>
      </c>
      <c r="F228" s="74">
        <v>1.2462</v>
      </c>
      <c r="G228" s="70" t="s">
        <v>286</v>
      </c>
      <c r="H228" s="74">
        <v>0.12989999999999999</v>
      </c>
    </row>
    <row r="229" spans="1:8" ht="15.6">
      <c r="A229" s="468" t="s">
        <v>657</v>
      </c>
      <c r="B229" s="67">
        <v>77</v>
      </c>
      <c r="C229" s="69" t="s">
        <v>14</v>
      </c>
      <c r="D229" s="71" t="s">
        <v>76</v>
      </c>
      <c r="E229" s="70" t="s">
        <v>286</v>
      </c>
      <c r="F229" s="74">
        <v>1.2544999999999999</v>
      </c>
      <c r="G229" s="70" t="s">
        <v>286</v>
      </c>
      <c r="H229" s="74">
        <v>0.1308</v>
      </c>
    </row>
    <row r="230" spans="1:8" ht="15.6">
      <c r="A230" s="468" t="s">
        <v>658</v>
      </c>
      <c r="B230" s="67">
        <v>1</v>
      </c>
      <c r="C230" s="69" t="s">
        <v>14</v>
      </c>
      <c r="D230" s="71" t="s">
        <v>19</v>
      </c>
      <c r="E230" s="70" t="s">
        <v>286</v>
      </c>
      <c r="F230" s="74">
        <v>1.2850999999999999</v>
      </c>
      <c r="G230" s="70" t="s">
        <v>286</v>
      </c>
      <c r="H230" s="74">
        <v>0.1343</v>
      </c>
    </row>
    <row r="231" spans="1:8" ht="15.6">
      <c r="A231" s="468" t="s">
        <v>659</v>
      </c>
      <c r="B231" s="67">
        <v>2</v>
      </c>
      <c r="C231" s="69" t="s">
        <v>14</v>
      </c>
      <c r="D231" s="71" t="s">
        <v>23</v>
      </c>
      <c r="E231" s="70" t="s">
        <v>286</v>
      </c>
      <c r="F231" s="74">
        <v>1.3647</v>
      </c>
      <c r="G231" s="70" t="s">
        <v>286</v>
      </c>
      <c r="H231" s="74">
        <v>0.14319999999999999</v>
      </c>
    </row>
    <row r="232" spans="1:8" ht="15.6">
      <c r="A232" s="468" t="s">
        <v>660</v>
      </c>
      <c r="B232" s="67">
        <v>3</v>
      </c>
      <c r="C232" s="69" t="s">
        <v>14</v>
      </c>
      <c r="D232" s="71" t="s">
        <v>20</v>
      </c>
      <c r="E232" s="70" t="s">
        <v>286</v>
      </c>
      <c r="F232" s="74">
        <v>1.4174</v>
      </c>
      <c r="G232" s="70" t="s">
        <v>286</v>
      </c>
      <c r="H232" s="74">
        <v>0.14910000000000001</v>
      </c>
    </row>
    <row r="233" spans="1:8" ht="15.6">
      <c r="A233" s="468" t="s">
        <v>661</v>
      </c>
      <c r="B233" s="67">
        <v>4</v>
      </c>
      <c r="C233" s="69" t="s">
        <v>14</v>
      </c>
      <c r="D233" s="71" t="s">
        <v>53</v>
      </c>
      <c r="E233" s="70" t="s">
        <v>286</v>
      </c>
      <c r="F233" s="74">
        <v>1.1312</v>
      </c>
      <c r="G233" s="70" t="s">
        <v>286</v>
      </c>
      <c r="H233" s="74">
        <v>0.11700000000000001</v>
      </c>
    </row>
    <row r="234" spans="1:8" ht="15.6">
      <c r="A234" s="468" t="s">
        <v>662</v>
      </c>
      <c r="B234" s="67">
        <v>5</v>
      </c>
      <c r="C234" s="69" t="s">
        <v>14</v>
      </c>
      <c r="D234" s="71" t="s">
        <v>41</v>
      </c>
      <c r="E234" s="70" t="s">
        <v>286</v>
      </c>
      <c r="F234" s="74">
        <v>1.1291</v>
      </c>
      <c r="G234" s="70" t="s">
        <v>286</v>
      </c>
      <c r="H234" s="74">
        <v>0.1167</v>
      </c>
    </row>
    <row r="235" spans="1:8" ht="15.6">
      <c r="A235" s="468" t="s">
        <v>663</v>
      </c>
      <c r="B235" s="67">
        <v>6</v>
      </c>
      <c r="C235" s="69" t="s">
        <v>14</v>
      </c>
      <c r="D235" s="71" t="s">
        <v>36</v>
      </c>
      <c r="E235" s="70" t="s">
        <v>286</v>
      </c>
      <c r="F235" s="74">
        <v>1.3112999999999999</v>
      </c>
      <c r="G235" s="70" t="s">
        <v>286</v>
      </c>
      <c r="H235" s="74">
        <v>0.13719999999999999</v>
      </c>
    </row>
    <row r="236" spans="1:8" ht="15.6">
      <c r="A236" s="468" t="s">
        <v>664</v>
      </c>
      <c r="B236" s="67">
        <v>7</v>
      </c>
      <c r="C236" s="69" t="s">
        <v>14</v>
      </c>
      <c r="D236" s="71" t="s">
        <v>15</v>
      </c>
      <c r="E236" s="70" t="s">
        <v>286</v>
      </c>
      <c r="F236" s="74">
        <v>1.3168</v>
      </c>
      <c r="G236" s="70" t="s">
        <v>286</v>
      </c>
      <c r="H236" s="74">
        <v>0.13780000000000001</v>
      </c>
    </row>
    <row r="237" spans="1:8" ht="15.6">
      <c r="A237" s="468" t="s">
        <v>665</v>
      </c>
      <c r="B237" s="67">
        <v>8</v>
      </c>
      <c r="C237" s="69" t="s">
        <v>14</v>
      </c>
      <c r="D237" s="71" t="s">
        <v>16</v>
      </c>
      <c r="E237" s="70" t="s">
        <v>286</v>
      </c>
      <c r="F237" s="74">
        <v>1.5288999999999999</v>
      </c>
      <c r="G237" s="70" t="s">
        <v>286</v>
      </c>
      <c r="H237" s="74">
        <v>0.16170000000000001</v>
      </c>
    </row>
    <row r="238" spans="1:8" ht="15.6">
      <c r="A238" s="468" t="s">
        <v>666</v>
      </c>
      <c r="B238" s="67">
        <v>9</v>
      </c>
      <c r="C238" s="69" t="s">
        <v>14</v>
      </c>
      <c r="D238" s="71" t="s">
        <v>17</v>
      </c>
      <c r="E238" s="70" t="s">
        <v>286</v>
      </c>
      <c r="F238" s="74">
        <v>0.17150000000000001</v>
      </c>
      <c r="G238" s="70" t="s">
        <v>286</v>
      </c>
      <c r="H238" s="74">
        <v>1.06E-2</v>
      </c>
    </row>
    <row r="239" spans="1:8" ht="15.6">
      <c r="A239" s="468" t="s">
        <v>667</v>
      </c>
      <c r="B239" s="67">
        <v>10</v>
      </c>
      <c r="C239" s="69" t="s">
        <v>14</v>
      </c>
      <c r="D239" s="71" t="s">
        <v>10</v>
      </c>
      <c r="E239" s="70" t="s">
        <v>286</v>
      </c>
      <c r="F239" s="74">
        <v>0.17150000000000001</v>
      </c>
      <c r="G239" s="70" t="s">
        <v>286</v>
      </c>
      <c r="H239" s="74">
        <v>1.06E-2</v>
      </c>
    </row>
    <row r="240" spans="1:8" ht="15.6">
      <c r="A240" s="468" t="s">
        <v>668</v>
      </c>
      <c r="B240" s="67">
        <v>11</v>
      </c>
      <c r="C240" s="69" t="s">
        <v>14</v>
      </c>
      <c r="D240" s="71" t="s">
        <v>22</v>
      </c>
      <c r="E240" s="70" t="s">
        <v>286</v>
      </c>
      <c r="F240" s="74">
        <v>1.2969999999999999</v>
      </c>
      <c r="G240" s="70" t="s">
        <v>286</v>
      </c>
      <c r="H240" s="74">
        <v>0.1356</v>
      </c>
    </row>
    <row r="241" spans="1:8" ht="15.6">
      <c r="A241" s="468" t="s">
        <v>669</v>
      </c>
      <c r="B241" s="67">
        <v>12</v>
      </c>
      <c r="C241" s="69" t="s">
        <v>14</v>
      </c>
      <c r="D241" s="71" t="s">
        <v>35</v>
      </c>
      <c r="E241" s="70" t="s">
        <v>286</v>
      </c>
      <c r="F241" s="74">
        <v>1.2436</v>
      </c>
      <c r="G241" s="70" t="s">
        <v>286</v>
      </c>
      <c r="H241" s="74">
        <v>0.12959999999999999</v>
      </c>
    </row>
    <row r="242" spans="1:8" ht="15.6">
      <c r="A242" s="468" t="s">
        <v>670</v>
      </c>
      <c r="B242" s="67">
        <v>13</v>
      </c>
      <c r="C242" s="69" t="s">
        <v>14</v>
      </c>
      <c r="D242" s="71" t="s">
        <v>24</v>
      </c>
      <c r="E242" s="70" t="s">
        <v>286</v>
      </c>
      <c r="F242" s="74">
        <v>1.4083000000000001</v>
      </c>
      <c r="G242" s="70" t="s">
        <v>286</v>
      </c>
      <c r="H242" s="74">
        <v>0.14810000000000001</v>
      </c>
    </row>
    <row r="243" spans="1:8" ht="15.6">
      <c r="A243" s="468" t="s">
        <v>671</v>
      </c>
      <c r="B243" s="67">
        <v>14</v>
      </c>
      <c r="C243" s="69" t="s">
        <v>14</v>
      </c>
      <c r="D243" s="71" t="s">
        <v>37</v>
      </c>
      <c r="E243" s="70" t="s">
        <v>286</v>
      </c>
      <c r="F243" s="74">
        <v>1.3099000000000001</v>
      </c>
      <c r="G243" s="70" t="s">
        <v>286</v>
      </c>
      <c r="H243" s="74">
        <v>0.1371</v>
      </c>
    </row>
    <row r="244" spans="1:8" ht="15.6">
      <c r="A244" s="468" t="s">
        <v>672</v>
      </c>
      <c r="B244" s="67">
        <v>15</v>
      </c>
      <c r="C244" s="69" t="s">
        <v>14</v>
      </c>
      <c r="D244" s="71" t="s">
        <v>38</v>
      </c>
      <c r="E244" s="70" t="s">
        <v>286</v>
      </c>
      <c r="F244" s="74">
        <v>0.96889999999999998</v>
      </c>
      <c r="G244" s="70" t="s">
        <v>286</v>
      </c>
      <c r="H244" s="74">
        <v>0.10680000000000001</v>
      </c>
    </row>
    <row r="245" spans="1:8" ht="15.6">
      <c r="A245" s="468" t="s">
        <v>673</v>
      </c>
      <c r="B245" s="67">
        <v>16</v>
      </c>
      <c r="C245" s="69" t="s">
        <v>14</v>
      </c>
      <c r="D245" s="71" t="s">
        <v>26</v>
      </c>
      <c r="E245" s="70" t="s">
        <v>286</v>
      </c>
      <c r="F245" s="74">
        <v>1.4187000000000001</v>
      </c>
      <c r="G245" s="70" t="s">
        <v>286</v>
      </c>
      <c r="H245" s="74">
        <v>0.14929999999999999</v>
      </c>
    </row>
    <row r="246" spans="1:8" ht="15.6">
      <c r="A246" s="468" t="s">
        <v>674</v>
      </c>
      <c r="B246" s="67">
        <v>17</v>
      </c>
      <c r="C246" s="69" t="s">
        <v>14</v>
      </c>
      <c r="D246" s="71" t="s">
        <v>52</v>
      </c>
      <c r="E246" s="70" t="s">
        <v>286</v>
      </c>
      <c r="F246" s="74">
        <v>9.2700000000000005E-2</v>
      </c>
      <c r="G246" s="70" t="s">
        <v>286</v>
      </c>
      <c r="H246" s="74">
        <v>1.1000000000000001E-3</v>
      </c>
    </row>
    <row r="247" spans="1:8" ht="15.6">
      <c r="A247" s="468" t="s">
        <v>675</v>
      </c>
      <c r="B247" s="67">
        <v>18</v>
      </c>
      <c r="C247" s="69" t="s">
        <v>14</v>
      </c>
      <c r="D247" s="71" t="s">
        <v>40</v>
      </c>
      <c r="E247" s="70" t="s">
        <v>286</v>
      </c>
      <c r="F247" s="74">
        <v>1.0403</v>
      </c>
      <c r="G247" s="70" t="s">
        <v>286</v>
      </c>
      <c r="H247" s="74">
        <v>0.1154</v>
      </c>
    </row>
    <row r="248" spans="1:8" ht="15.6">
      <c r="A248" s="468" t="s">
        <v>676</v>
      </c>
      <c r="B248" s="67">
        <v>19</v>
      </c>
      <c r="C248" s="69" t="s">
        <v>14</v>
      </c>
      <c r="D248" s="71" t="s">
        <v>34</v>
      </c>
      <c r="E248" s="70" t="s">
        <v>286</v>
      </c>
      <c r="F248" s="74">
        <v>0.30940000000000001</v>
      </c>
      <c r="G248" s="70" t="s">
        <v>286</v>
      </c>
      <c r="H248" s="74">
        <v>2.7199999999999998E-2</v>
      </c>
    </row>
    <row r="249" spans="1:8" ht="15.6">
      <c r="A249" s="468" t="s">
        <v>677</v>
      </c>
      <c r="B249" s="67">
        <v>20</v>
      </c>
      <c r="C249" s="69" t="s">
        <v>14</v>
      </c>
      <c r="D249" s="71" t="s">
        <v>54</v>
      </c>
      <c r="E249" s="70" t="s">
        <v>286</v>
      </c>
      <c r="F249" s="74">
        <v>1.1312</v>
      </c>
      <c r="G249" s="70" t="s">
        <v>286</v>
      </c>
      <c r="H249" s="74">
        <v>0.11700000000000001</v>
      </c>
    </row>
    <row r="250" spans="1:8" ht="15.6">
      <c r="A250" s="468" t="s">
        <v>678</v>
      </c>
      <c r="B250" s="67">
        <v>21</v>
      </c>
      <c r="C250" s="69" t="s">
        <v>36</v>
      </c>
      <c r="D250" s="71" t="s">
        <v>12</v>
      </c>
      <c r="E250" s="70">
        <v>74.541820000000001</v>
      </c>
      <c r="F250" s="74">
        <v>2.4506999999999999</v>
      </c>
      <c r="G250" s="70">
        <v>5.96767</v>
      </c>
      <c r="H250" s="74">
        <v>0.19620000000000001</v>
      </c>
    </row>
    <row r="251" spans="1:8" ht="15.6">
      <c r="A251" s="468" t="s">
        <v>679</v>
      </c>
      <c r="B251" s="67">
        <v>22</v>
      </c>
      <c r="C251" s="69" t="s">
        <v>36</v>
      </c>
      <c r="D251" s="71" t="s">
        <v>51</v>
      </c>
      <c r="E251" s="70">
        <v>64.052329999999998</v>
      </c>
      <c r="F251" s="74">
        <v>2.1057999999999999</v>
      </c>
      <c r="G251" s="70">
        <v>5.0845900000000004</v>
      </c>
      <c r="H251" s="74">
        <v>0.16719999999999999</v>
      </c>
    </row>
    <row r="252" spans="1:8" ht="15.6">
      <c r="A252" s="468" t="s">
        <v>680</v>
      </c>
      <c r="B252" s="67">
        <v>23</v>
      </c>
      <c r="C252" s="69" t="s">
        <v>36</v>
      </c>
      <c r="D252" s="71" t="s">
        <v>13</v>
      </c>
      <c r="E252" s="70">
        <v>59.75506</v>
      </c>
      <c r="F252" s="74">
        <v>1.9645999999999999</v>
      </c>
      <c r="G252" s="70">
        <v>4.7228300000000001</v>
      </c>
      <c r="H252" s="74">
        <v>0.15529999999999999</v>
      </c>
    </row>
    <row r="253" spans="1:8" ht="15.6">
      <c r="A253" s="468" t="s">
        <v>681</v>
      </c>
      <c r="B253" s="67">
        <v>24</v>
      </c>
      <c r="C253" s="69" t="s">
        <v>36</v>
      </c>
      <c r="D253" s="71" t="s">
        <v>9</v>
      </c>
      <c r="E253" s="70">
        <v>53.254109999999997</v>
      </c>
      <c r="F253" s="74">
        <v>1.7507999999999999</v>
      </c>
      <c r="G253" s="70">
        <v>4.1755599999999999</v>
      </c>
      <c r="H253" s="74">
        <v>0.13730000000000001</v>
      </c>
    </row>
    <row r="254" spans="1:8" ht="15.6">
      <c r="A254" s="468" t="s">
        <v>682</v>
      </c>
      <c r="B254" s="67">
        <v>25</v>
      </c>
      <c r="C254" s="69" t="s">
        <v>36</v>
      </c>
      <c r="D254" s="71" t="s">
        <v>14</v>
      </c>
      <c r="E254" s="70">
        <v>53.230379999999997</v>
      </c>
      <c r="F254" s="74">
        <v>1.75</v>
      </c>
      <c r="G254" s="70">
        <v>4.1735699999999998</v>
      </c>
      <c r="H254" s="74">
        <v>0.13719999999999999</v>
      </c>
    </row>
    <row r="255" spans="1:8" ht="15.6">
      <c r="A255" s="468" t="s">
        <v>683</v>
      </c>
      <c r="B255" s="67">
        <v>26</v>
      </c>
      <c r="C255" s="69" t="s">
        <v>36</v>
      </c>
      <c r="D255" s="71" t="s">
        <v>33</v>
      </c>
      <c r="E255" s="70">
        <v>42.984830000000002</v>
      </c>
      <c r="F255" s="74">
        <v>1.4132</v>
      </c>
      <c r="G255" s="70">
        <v>3.31101</v>
      </c>
      <c r="H255" s="74">
        <v>0.1089</v>
      </c>
    </row>
    <row r="256" spans="1:8" ht="15.6">
      <c r="A256" s="468" t="s">
        <v>684</v>
      </c>
      <c r="B256" s="67">
        <v>27</v>
      </c>
      <c r="C256" s="69" t="s">
        <v>36</v>
      </c>
      <c r="D256" s="71" t="s">
        <v>25</v>
      </c>
      <c r="E256" s="70">
        <v>38.384920000000001</v>
      </c>
      <c r="F256" s="74">
        <v>1.262</v>
      </c>
      <c r="G256" s="70">
        <v>2.9237799999999998</v>
      </c>
      <c r="H256" s="74">
        <v>9.6100000000000005E-2</v>
      </c>
    </row>
    <row r="257" spans="1:8" ht="15.6">
      <c r="A257" s="468" t="s">
        <v>685</v>
      </c>
      <c r="B257" s="67">
        <v>28</v>
      </c>
      <c r="C257" s="69" t="s">
        <v>36</v>
      </c>
      <c r="D257" s="71" t="s">
        <v>31</v>
      </c>
      <c r="E257" s="70">
        <v>20.193629999999999</v>
      </c>
      <c r="F257" s="74">
        <v>0.66390000000000005</v>
      </c>
      <c r="G257" s="70">
        <v>1.39232</v>
      </c>
      <c r="H257" s="74">
        <v>4.58E-2</v>
      </c>
    </row>
    <row r="258" spans="1:8" ht="15.6">
      <c r="A258" s="468" t="s">
        <v>686</v>
      </c>
      <c r="B258" s="67">
        <v>29</v>
      </c>
      <c r="C258" s="69" t="s">
        <v>36</v>
      </c>
      <c r="D258" s="71" t="s">
        <v>45</v>
      </c>
      <c r="E258" s="70">
        <v>30.388079999999999</v>
      </c>
      <c r="F258" s="74">
        <v>0.99909999999999999</v>
      </c>
      <c r="G258" s="70">
        <v>2.25054</v>
      </c>
      <c r="H258" s="74">
        <v>7.3999999999999996E-2</v>
      </c>
    </row>
    <row r="259" spans="1:8" ht="15.6">
      <c r="A259" s="468" t="s">
        <v>687</v>
      </c>
      <c r="B259" s="67">
        <v>30</v>
      </c>
      <c r="C259" s="69" t="s">
        <v>36</v>
      </c>
      <c r="D259" s="71" t="s">
        <v>27</v>
      </c>
      <c r="E259" s="70">
        <v>24.091830000000002</v>
      </c>
      <c r="F259" s="74">
        <v>0.79210000000000003</v>
      </c>
      <c r="G259" s="70">
        <v>1.7204999999999999</v>
      </c>
      <c r="H259" s="74">
        <v>5.6599999999999998E-2</v>
      </c>
    </row>
    <row r="260" spans="1:8" ht="15.6">
      <c r="A260" s="468" t="s">
        <v>688</v>
      </c>
      <c r="B260" s="67">
        <v>31</v>
      </c>
      <c r="C260" s="69" t="s">
        <v>36</v>
      </c>
      <c r="D260" s="71" t="s">
        <v>21</v>
      </c>
      <c r="E260" s="70">
        <v>19.413129999999999</v>
      </c>
      <c r="F260" s="74">
        <v>0.63819999999999999</v>
      </c>
      <c r="G260" s="70">
        <v>1.32663</v>
      </c>
      <c r="H260" s="74">
        <v>4.36E-2</v>
      </c>
    </row>
    <row r="261" spans="1:8" ht="15.6">
      <c r="A261" s="468" t="s">
        <v>689</v>
      </c>
      <c r="B261" s="67">
        <v>32</v>
      </c>
      <c r="C261" s="69" t="s">
        <v>36</v>
      </c>
      <c r="D261" s="71" t="s">
        <v>32</v>
      </c>
      <c r="E261" s="70">
        <v>26.067689999999999</v>
      </c>
      <c r="F261" s="74">
        <v>0.85699999999999998</v>
      </c>
      <c r="G261" s="70">
        <v>1.88686</v>
      </c>
      <c r="H261" s="74">
        <v>6.2E-2</v>
      </c>
    </row>
    <row r="262" spans="1:8" ht="15.6">
      <c r="A262" s="468" t="s">
        <v>690</v>
      </c>
      <c r="B262" s="67">
        <v>33</v>
      </c>
      <c r="C262" s="69" t="s">
        <v>36</v>
      </c>
      <c r="D262" s="71" t="s">
        <v>30</v>
      </c>
      <c r="E262" s="70">
        <v>11.75878</v>
      </c>
      <c r="F262" s="74">
        <v>0.3866</v>
      </c>
      <c r="G262" s="70">
        <v>0.68223999999999996</v>
      </c>
      <c r="H262" s="74">
        <v>2.24E-2</v>
      </c>
    </row>
    <row r="263" spans="1:8" ht="15.6">
      <c r="A263" s="468" t="s">
        <v>691</v>
      </c>
      <c r="B263" s="67">
        <v>34</v>
      </c>
      <c r="C263" s="69" t="s">
        <v>36</v>
      </c>
      <c r="D263" s="71" t="s">
        <v>28</v>
      </c>
      <c r="E263" s="70">
        <v>5.9993800000000004</v>
      </c>
      <c r="F263" s="74">
        <v>0.19719999999999999</v>
      </c>
      <c r="G263" s="70">
        <v>0.19738</v>
      </c>
      <c r="H263" s="74">
        <v>6.4999999999999997E-3</v>
      </c>
    </row>
    <row r="264" spans="1:8" ht="15.6">
      <c r="A264" s="468" t="s">
        <v>692</v>
      </c>
      <c r="B264" s="67">
        <v>35</v>
      </c>
      <c r="C264" s="69" t="s">
        <v>36</v>
      </c>
      <c r="D264" s="71" t="s">
        <v>79</v>
      </c>
      <c r="E264" s="70">
        <v>7.0301999999999998</v>
      </c>
      <c r="F264" s="74">
        <v>0.2311</v>
      </c>
      <c r="G264" s="70">
        <v>0.28416000000000002</v>
      </c>
      <c r="H264" s="74">
        <v>9.2999999999999992E-3</v>
      </c>
    </row>
    <row r="265" spans="1:8" ht="15.6">
      <c r="A265" s="468" t="s">
        <v>693</v>
      </c>
      <c r="B265" s="67">
        <v>36</v>
      </c>
      <c r="C265" s="69" t="s">
        <v>36</v>
      </c>
      <c r="D265" s="71" t="s">
        <v>29</v>
      </c>
      <c r="E265" s="70">
        <v>15.10826</v>
      </c>
      <c r="F265" s="74">
        <v>0.49669999999999997</v>
      </c>
      <c r="G265" s="70">
        <v>0.96421000000000001</v>
      </c>
      <c r="H265" s="74">
        <v>3.1699999999999999E-2</v>
      </c>
    </row>
    <row r="266" spans="1:8" ht="15.6">
      <c r="A266" s="468" t="s">
        <v>694</v>
      </c>
      <c r="B266" s="67">
        <v>37</v>
      </c>
      <c r="C266" s="69" t="s">
        <v>36</v>
      </c>
      <c r="D266" s="71" t="s">
        <v>43</v>
      </c>
      <c r="E266" s="70">
        <v>7.3085199999999997</v>
      </c>
      <c r="F266" s="74">
        <v>0.24030000000000001</v>
      </c>
      <c r="G266" s="70">
        <v>0.30760999999999999</v>
      </c>
      <c r="H266" s="74">
        <v>1.01E-2</v>
      </c>
    </row>
    <row r="267" spans="1:8" ht="15.6">
      <c r="A267" s="468" t="s">
        <v>695</v>
      </c>
      <c r="B267" s="67">
        <v>38</v>
      </c>
      <c r="C267" s="69" t="s">
        <v>36</v>
      </c>
      <c r="D267" s="71" t="s">
        <v>18</v>
      </c>
      <c r="E267" s="70">
        <v>8.3843499999999995</v>
      </c>
      <c r="F267" s="74">
        <v>0.2757</v>
      </c>
      <c r="G267" s="70">
        <v>0.39817000000000002</v>
      </c>
      <c r="H267" s="74">
        <v>1.3100000000000001E-2</v>
      </c>
    </row>
    <row r="268" spans="1:8" ht="15.6">
      <c r="A268" s="468" t="s">
        <v>696</v>
      </c>
      <c r="B268" s="67">
        <v>39</v>
      </c>
      <c r="C268" s="69" t="s">
        <v>36</v>
      </c>
      <c r="D268" s="71" t="s">
        <v>76</v>
      </c>
      <c r="E268" s="70">
        <v>7.3085199999999997</v>
      </c>
      <c r="F268" s="74">
        <v>0.24030000000000001</v>
      </c>
      <c r="G268" s="70">
        <v>0.30760999999999999</v>
      </c>
      <c r="H268" s="74">
        <v>1.01E-2</v>
      </c>
    </row>
    <row r="269" spans="1:8" ht="15.6">
      <c r="A269" s="468" t="s">
        <v>697</v>
      </c>
      <c r="B269" s="67">
        <v>40</v>
      </c>
      <c r="C269" s="69" t="s">
        <v>36</v>
      </c>
      <c r="D269" s="71" t="s">
        <v>19</v>
      </c>
      <c r="E269" s="70">
        <v>18.430980000000002</v>
      </c>
      <c r="F269" s="74">
        <v>0.60599999999999998</v>
      </c>
      <c r="G269" s="70">
        <v>1.2439499999999999</v>
      </c>
      <c r="H269" s="74">
        <v>4.0899999999999999E-2</v>
      </c>
    </row>
    <row r="270" spans="1:8" ht="15.6">
      <c r="A270" s="468" t="s">
        <v>698</v>
      </c>
      <c r="B270" s="67">
        <v>41</v>
      </c>
      <c r="C270" s="69" t="s">
        <v>36</v>
      </c>
      <c r="D270" s="71" t="s">
        <v>23</v>
      </c>
      <c r="E270" s="70">
        <v>14.656879999999999</v>
      </c>
      <c r="F270" s="74">
        <v>0.4819</v>
      </c>
      <c r="G270" s="70">
        <v>0.92620999999999998</v>
      </c>
      <c r="H270" s="74">
        <v>3.0499999999999999E-2</v>
      </c>
    </row>
    <row r="271" spans="1:8" ht="15.6">
      <c r="A271" s="468" t="s">
        <v>699</v>
      </c>
      <c r="B271" s="67">
        <v>42</v>
      </c>
      <c r="C271" s="69" t="s">
        <v>36</v>
      </c>
      <c r="D271" s="71" t="s">
        <v>20</v>
      </c>
      <c r="E271" s="70">
        <v>22.74072</v>
      </c>
      <c r="F271" s="74">
        <v>0.74760000000000004</v>
      </c>
      <c r="G271" s="70">
        <v>1.6067800000000001</v>
      </c>
      <c r="H271" s="74">
        <v>5.28E-2</v>
      </c>
    </row>
    <row r="272" spans="1:8" ht="15.6">
      <c r="A272" s="468" t="s">
        <v>700</v>
      </c>
      <c r="B272" s="67">
        <v>43</v>
      </c>
      <c r="C272" s="69" t="s">
        <v>36</v>
      </c>
      <c r="D272" s="71" t="s">
        <v>53</v>
      </c>
      <c r="E272" s="70">
        <v>11.35454</v>
      </c>
      <c r="F272" s="74">
        <v>0.37330000000000002</v>
      </c>
      <c r="G272" s="70">
        <v>0.64822000000000002</v>
      </c>
      <c r="H272" s="74">
        <v>2.1299999999999999E-2</v>
      </c>
    </row>
    <row r="273" spans="1:8" ht="15.6">
      <c r="A273" s="468" t="s">
        <v>701</v>
      </c>
      <c r="B273" s="67">
        <v>44</v>
      </c>
      <c r="C273" s="69" t="s">
        <v>36</v>
      </c>
      <c r="D273" s="71" t="s">
        <v>41</v>
      </c>
      <c r="E273" s="70">
        <v>11.44153</v>
      </c>
      <c r="F273" s="74">
        <v>0.37619999999999998</v>
      </c>
      <c r="G273" s="70">
        <v>0.65554999999999997</v>
      </c>
      <c r="H273" s="74">
        <v>2.1600000000000001E-2</v>
      </c>
    </row>
    <row r="274" spans="1:8" ht="15.6">
      <c r="A274" s="468" t="s">
        <v>702</v>
      </c>
      <c r="B274" s="67">
        <v>45</v>
      </c>
      <c r="C274" s="69" t="s">
        <v>36</v>
      </c>
      <c r="D274" s="71" t="s">
        <v>36</v>
      </c>
      <c r="E274" s="70">
        <v>4.0423799999999996</v>
      </c>
      <c r="F274" s="74">
        <v>0.13289999999999999</v>
      </c>
      <c r="G274" s="70">
        <v>3.261E-2</v>
      </c>
      <c r="H274" s="74">
        <v>1.1000000000000001E-3</v>
      </c>
    </row>
    <row r="275" spans="1:8" ht="15.6">
      <c r="A275" s="468" t="s">
        <v>703</v>
      </c>
      <c r="B275" s="67">
        <v>46</v>
      </c>
      <c r="C275" s="69" t="s">
        <v>36</v>
      </c>
      <c r="D275" s="71" t="s">
        <v>15</v>
      </c>
      <c r="E275" s="70">
        <v>18.655149999999999</v>
      </c>
      <c r="F275" s="74">
        <v>0.61329999999999996</v>
      </c>
      <c r="G275" s="70">
        <v>1.2627999999999999</v>
      </c>
      <c r="H275" s="74">
        <v>4.1500000000000002E-2</v>
      </c>
    </row>
    <row r="276" spans="1:8" ht="15.6">
      <c r="A276" s="468" t="s">
        <v>704</v>
      </c>
      <c r="B276" s="67">
        <v>47</v>
      </c>
      <c r="C276" s="69" t="s">
        <v>36</v>
      </c>
      <c r="D276" s="71" t="s">
        <v>16</v>
      </c>
      <c r="E276" s="70">
        <v>27.26763</v>
      </c>
      <c r="F276" s="74">
        <v>0.89649999999999996</v>
      </c>
      <c r="G276" s="70">
        <v>1.98786</v>
      </c>
      <c r="H276" s="74">
        <v>6.54E-2</v>
      </c>
    </row>
    <row r="277" spans="1:8" ht="15.6">
      <c r="A277" s="468" t="s">
        <v>705</v>
      </c>
      <c r="B277" s="67">
        <v>48</v>
      </c>
      <c r="C277" s="69" t="s">
        <v>36</v>
      </c>
      <c r="D277" s="71" t="s">
        <v>17</v>
      </c>
      <c r="E277" s="70">
        <v>49.799689999999998</v>
      </c>
      <c r="F277" s="74">
        <v>1.6373</v>
      </c>
      <c r="G277" s="70">
        <v>3.8847100000000001</v>
      </c>
      <c r="H277" s="74">
        <v>0.12770000000000001</v>
      </c>
    </row>
    <row r="278" spans="1:8" ht="15.6">
      <c r="A278" s="468" t="s">
        <v>706</v>
      </c>
      <c r="B278" s="67">
        <v>49</v>
      </c>
      <c r="C278" s="69" t="s">
        <v>36</v>
      </c>
      <c r="D278" s="71" t="s">
        <v>10</v>
      </c>
      <c r="E278" s="70">
        <v>49.799689999999998</v>
      </c>
      <c r="F278" s="74">
        <v>1.6373</v>
      </c>
      <c r="G278" s="70">
        <v>3.8847100000000001</v>
      </c>
      <c r="H278" s="74">
        <v>0.12770000000000001</v>
      </c>
    </row>
    <row r="279" spans="1:8" ht="15.6">
      <c r="A279" s="468" t="s">
        <v>707</v>
      </c>
      <c r="B279" s="67">
        <v>50</v>
      </c>
      <c r="C279" s="69" t="s">
        <v>36</v>
      </c>
      <c r="D279" s="71" t="s">
        <v>22</v>
      </c>
      <c r="E279" s="70">
        <v>17.631019999999999</v>
      </c>
      <c r="F279" s="74">
        <v>0.57969999999999999</v>
      </c>
      <c r="G279" s="70">
        <v>1.17658</v>
      </c>
      <c r="H279" s="74">
        <v>3.8699999999999998E-2</v>
      </c>
    </row>
    <row r="280" spans="1:8" ht="15.6">
      <c r="A280" s="468" t="s">
        <v>708</v>
      </c>
      <c r="B280" s="67">
        <v>51</v>
      </c>
      <c r="C280" s="69" t="s">
        <v>36</v>
      </c>
      <c r="D280" s="71" t="s">
        <v>35</v>
      </c>
      <c r="E280" s="70">
        <v>6.7932600000000001</v>
      </c>
      <c r="F280" s="74">
        <v>0.2233</v>
      </c>
      <c r="G280" s="70">
        <v>0.26418999999999998</v>
      </c>
      <c r="H280" s="74">
        <v>8.6999999999999994E-3</v>
      </c>
    </row>
    <row r="281" spans="1:8" ht="15.6">
      <c r="A281" s="468" t="s">
        <v>709</v>
      </c>
      <c r="B281" s="67">
        <v>52</v>
      </c>
      <c r="C281" s="69" t="s">
        <v>36</v>
      </c>
      <c r="D281" s="71" t="s">
        <v>24</v>
      </c>
      <c r="E281" s="70">
        <v>22.369630000000001</v>
      </c>
      <c r="F281" s="74">
        <v>0.73540000000000005</v>
      </c>
      <c r="G281" s="70">
        <v>1.5755300000000001</v>
      </c>
      <c r="H281" s="74">
        <v>5.1799999999999999E-2</v>
      </c>
    </row>
    <row r="282" spans="1:8" ht="15.6">
      <c r="A282" s="468" t="s">
        <v>710</v>
      </c>
      <c r="B282" s="67">
        <v>53</v>
      </c>
      <c r="C282" s="69" t="s">
        <v>36</v>
      </c>
      <c r="D282" s="71" t="s">
        <v>37</v>
      </c>
      <c r="E282" s="70">
        <v>4.9770799999999999</v>
      </c>
      <c r="F282" s="74">
        <v>0.1636</v>
      </c>
      <c r="G282" s="70">
        <v>0.11132</v>
      </c>
      <c r="H282" s="74">
        <v>3.7000000000000002E-3</v>
      </c>
    </row>
    <row r="283" spans="1:8" ht="15.6">
      <c r="A283" s="468" t="s">
        <v>711</v>
      </c>
      <c r="B283" s="67">
        <v>54</v>
      </c>
      <c r="C283" s="69" t="s">
        <v>36</v>
      </c>
      <c r="D283" s="71" t="s">
        <v>38</v>
      </c>
      <c r="E283" s="70">
        <v>16.000689999999999</v>
      </c>
      <c r="F283" s="74">
        <v>0.52610000000000001</v>
      </c>
      <c r="G283" s="70">
        <v>1.03932</v>
      </c>
      <c r="H283" s="74">
        <v>3.4200000000000001E-2</v>
      </c>
    </row>
    <row r="284" spans="1:8" ht="15.6">
      <c r="A284" s="468" t="s">
        <v>712</v>
      </c>
      <c r="B284" s="67">
        <v>55</v>
      </c>
      <c r="C284" s="69" t="s">
        <v>36</v>
      </c>
      <c r="D284" s="71" t="s">
        <v>26</v>
      </c>
      <c r="E284" s="70">
        <v>22.791820000000001</v>
      </c>
      <c r="F284" s="74">
        <v>0.74929999999999997</v>
      </c>
      <c r="G284" s="70">
        <v>1.61107</v>
      </c>
      <c r="H284" s="74">
        <v>5.2999999999999999E-2</v>
      </c>
    </row>
    <row r="285" spans="1:8" ht="15.6">
      <c r="A285" s="468" t="s">
        <v>713</v>
      </c>
      <c r="B285" s="67">
        <v>56</v>
      </c>
      <c r="C285" s="69" t="s">
        <v>36</v>
      </c>
      <c r="D285" s="71" t="s">
        <v>52</v>
      </c>
      <c r="E285" s="70">
        <v>53.230379999999997</v>
      </c>
      <c r="F285" s="74">
        <v>1.75</v>
      </c>
      <c r="G285" s="70">
        <v>4.1735699999999998</v>
      </c>
      <c r="H285" s="74">
        <v>0.13719999999999999</v>
      </c>
    </row>
    <row r="286" spans="1:8" ht="15.6">
      <c r="A286" s="468" t="s">
        <v>714</v>
      </c>
      <c r="B286" s="67">
        <v>57</v>
      </c>
      <c r="C286" s="69" t="s">
        <v>36</v>
      </c>
      <c r="D286" s="71" t="s">
        <v>40</v>
      </c>
      <c r="E286" s="70">
        <v>11.93094</v>
      </c>
      <c r="F286" s="74">
        <v>0.39229999999999998</v>
      </c>
      <c r="G286" s="70">
        <v>0.69672999999999996</v>
      </c>
      <c r="H286" s="74">
        <v>2.29E-2</v>
      </c>
    </row>
    <row r="287" spans="1:8" ht="15.6">
      <c r="A287" s="468" t="s">
        <v>715</v>
      </c>
      <c r="B287" s="67">
        <v>58</v>
      </c>
      <c r="C287" s="69" t="s">
        <v>36</v>
      </c>
      <c r="D287" s="71" t="s">
        <v>34</v>
      </c>
      <c r="E287" s="70">
        <v>59.75506</v>
      </c>
      <c r="F287" s="74">
        <v>1.9645999999999999</v>
      </c>
      <c r="G287" s="70">
        <v>4.7228300000000001</v>
      </c>
      <c r="H287" s="74">
        <v>0.15529999999999999</v>
      </c>
    </row>
    <row r="288" spans="1:8" ht="15.6">
      <c r="A288" s="468" t="s">
        <v>716</v>
      </c>
      <c r="B288" s="67">
        <v>59</v>
      </c>
      <c r="C288" s="69" t="s">
        <v>36</v>
      </c>
      <c r="D288" s="71" t="s">
        <v>54</v>
      </c>
      <c r="E288" s="70">
        <v>11.35454</v>
      </c>
      <c r="F288" s="74">
        <v>0.37330000000000002</v>
      </c>
      <c r="G288" s="70">
        <v>0.64822000000000002</v>
      </c>
      <c r="H288" s="74">
        <v>2.1299999999999999E-2</v>
      </c>
    </row>
    <row r="289" spans="1:8" ht="15.6">
      <c r="A289" s="468" t="s">
        <v>717</v>
      </c>
      <c r="B289" s="67">
        <v>60</v>
      </c>
      <c r="C289" s="69" t="s">
        <v>15</v>
      </c>
      <c r="D289" s="71" t="s">
        <v>12</v>
      </c>
      <c r="E289" s="70">
        <v>77.68356</v>
      </c>
      <c r="F289" s="74">
        <v>2.5539999999999998</v>
      </c>
      <c r="G289" s="70">
        <v>6.2321400000000002</v>
      </c>
      <c r="H289" s="74">
        <v>0.2049</v>
      </c>
    </row>
    <row r="290" spans="1:8" ht="15.6">
      <c r="A290" s="468" t="s">
        <v>718</v>
      </c>
      <c r="B290" s="67">
        <v>61</v>
      </c>
      <c r="C290" s="69" t="s">
        <v>15</v>
      </c>
      <c r="D290" s="71" t="s">
        <v>51</v>
      </c>
      <c r="E290" s="70">
        <v>67.194069999999996</v>
      </c>
      <c r="F290" s="74">
        <v>2.2090999999999998</v>
      </c>
      <c r="G290" s="70">
        <v>5.3490799999999998</v>
      </c>
      <c r="H290" s="74">
        <v>0.1759</v>
      </c>
    </row>
    <row r="291" spans="1:8" ht="15.6">
      <c r="A291" s="468" t="s">
        <v>719</v>
      </c>
      <c r="B291" s="67">
        <v>62</v>
      </c>
      <c r="C291" s="69" t="s">
        <v>15</v>
      </c>
      <c r="D291" s="71" t="s">
        <v>13</v>
      </c>
      <c r="E291" s="70">
        <v>62.896500000000003</v>
      </c>
      <c r="F291" s="74">
        <v>2.0678000000000001</v>
      </c>
      <c r="G291" s="70">
        <v>4.9873000000000003</v>
      </c>
      <c r="H291" s="74">
        <v>0.16400000000000001</v>
      </c>
    </row>
    <row r="292" spans="1:8" ht="15.6">
      <c r="A292" s="468" t="s">
        <v>720</v>
      </c>
      <c r="B292" s="67">
        <v>63</v>
      </c>
      <c r="C292" s="69" t="s">
        <v>15</v>
      </c>
      <c r="D292" s="71" t="s">
        <v>9</v>
      </c>
      <c r="E292" s="70">
        <v>56.433869999999999</v>
      </c>
      <c r="F292" s="74">
        <v>1.8553999999999999</v>
      </c>
      <c r="G292" s="70">
        <v>4.4432499999999999</v>
      </c>
      <c r="H292" s="74">
        <v>0.14610000000000001</v>
      </c>
    </row>
    <row r="293" spans="1:8" ht="15.6">
      <c r="A293" s="468" t="s">
        <v>721</v>
      </c>
      <c r="B293" s="67">
        <v>64</v>
      </c>
      <c r="C293" s="69" t="s">
        <v>15</v>
      </c>
      <c r="D293" s="71" t="s">
        <v>14</v>
      </c>
      <c r="E293" s="70">
        <v>53.451210000000003</v>
      </c>
      <c r="F293" s="74">
        <v>1.7573000000000001</v>
      </c>
      <c r="G293" s="70">
        <v>4.1921499999999998</v>
      </c>
      <c r="H293" s="74">
        <v>0.13780000000000001</v>
      </c>
    </row>
    <row r="294" spans="1:8" ht="15.6">
      <c r="A294" s="468" t="s">
        <v>722</v>
      </c>
      <c r="B294" s="67">
        <v>65</v>
      </c>
      <c r="C294" s="69" t="s">
        <v>15</v>
      </c>
      <c r="D294" s="71" t="s">
        <v>33</v>
      </c>
      <c r="E294" s="70">
        <v>42.246929999999999</v>
      </c>
      <c r="F294" s="74">
        <v>1.3889</v>
      </c>
      <c r="G294" s="70">
        <v>3.2489300000000001</v>
      </c>
      <c r="H294" s="74">
        <v>0.10680000000000001</v>
      </c>
    </row>
    <row r="295" spans="1:8" ht="15.6">
      <c r="A295" s="468" t="s">
        <v>723</v>
      </c>
      <c r="B295" s="67">
        <v>66</v>
      </c>
      <c r="C295" s="69" t="s">
        <v>15</v>
      </c>
      <c r="D295" s="71" t="s">
        <v>25</v>
      </c>
      <c r="E295" s="70">
        <v>37.647930000000002</v>
      </c>
      <c r="F295" s="74">
        <v>1.2377</v>
      </c>
      <c r="G295" s="70">
        <v>2.8617400000000002</v>
      </c>
      <c r="H295" s="74">
        <v>9.4100000000000003E-2</v>
      </c>
    </row>
    <row r="296" spans="1:8" ht="15.6">
      <c r="A296" s="468" t="s">
        <v>724</v>
      </c>
      <c r="B296" s="67">
        <v>67</v>
      </c>
      <c r="C296" s="69" t="s">
        <v>15</v>
      </c>
      <c r="D296" s="71" t="s">
        <v>31</v>
      </c>
      <c r="E296" s="70">
        <v>19.474879999999999</v>
      </c>
      <c r="F296" s="74">
        <v>0.64029999999999998</v>
      </c>
      <c r="G296" s="70">
        <v>1.3318399999999999</v>
      </c>
      <c r="H296" s="74">
        <v>4.3799999999999999E-2</v>
      </c>
    </row>
    <row r="297" spans="1:8" ht="15.6">
      <c r="A297" s="468" t="s">
        <v>725</v>
      </c>
      <c r="B297" s="67">
        <v>68</v>
      </c>
      <c r="C297" s="69" t="s">
        <v>15</v>
      </c>
      <c r="D297" s="71" t="s">
        <v>45</v>
      </c>
      <c r="E297" s="70">
        <v>29.65138</v>
      </c>
      <c r="F297" s="74">
        <v>0.9748</v>
      </c>
      <c r="G297" s="70">
        <v>2.18852</v>
      </c>
      <c r="H297" s="74">
        <v>7.1999999999999995E-2</v>
      </c>
    </row>
    <row r="298" spans="1:8" ht="15.6">
      <c r="A298" s="468" t="s">
        <v>726</v>
      </c>
      <c r="B298" s="67">
        <v>69</v>
      </c>
      <c r="C298" s="69" t="s">
        <v>15</v>
      </c>
      <c r="D298" s="71" t="s">
        <v>27</v>
      </c>
      <c r="E298" s="70">
        <v>23.355129999999999</v>
      </c>
      <c r="F298" s="74">
        <v>0.76780000000000004</v>
      </c>
      <c r="G298" s="70">
        <v>1.65846</v>
      </c>
      <c r="H298" s="74">
        <v>5.45E-2</v>
      </c>
    </row>
    <row r="299" spans="1:8" ht="15.6">
      <c r="A299" s="468" t="s">
        <v>727</v>
      </c>
      <c r="B299" s="67">
        <v>70</v>
      </c>
      <c r="C299" s="69" t="s">
        <v>15</v>
      </c>
      <c r="D299" s="71" t="s">
        <v>21</v>
      </c>
      <c r="E299" s="70">
        <v>18.676439999999999</v>
      </c>
      <c r="F299" s="74">
        <v>0.61399999999999999</v>
      </c>
      <c r="G299" s="70">
        <v>1.2645900000000001</v>
      </c>
      <c r="H299" s="74">
        <v>4.1599999999999998E-2</v>
      </c>
    </row>
    <row r="300" spans="1:8" ht="15.6">
      <c r="A300" s="468" t="s">
        <v>728</v>
      </c>
      <c r="B300" s="67">
        <v>71</v>
      </c>
      <c r="C300" s="69" t="s">
        <v>15</v>
      </c>
      <c r="D300" s="71" t="s">
        <v>32</v>
      </c>
      <c r="E300" s="70">
        <v>35.587200000000003</v>
      </c>
      <c r="F300" s="74">
        <v>1.17</v>
      </c>
      <c r="G300" s="70">
        <v>2.6882299999999999</v>
      </c>
      <c r="H300" s="74">
        <v>8.8400000000000006E-2</v>
      </c>
    </row>
    <row r="301" spans="1:8" ht="15.6">
      <c r="A301" s="468" t="s">
        <v>729</v>
      </c>
      <c r="B301" s="67">
        <v>72</v>
      </c>
      <c r="C301" s="69" t="s">
        <v>15</v>
      </c>
      <c r="D301" s="71" t="s">
        <v>30</v>
      </c>
      <c r="E301" s="70">
        <v>17.289439999999999</v>
      </c>
      <c r="F301" s="74">
        <v>0.56840000000000002</v>
      </c>
      <c r="G301" s="70">
        <v>1.14784</v>
      </c>
      <c r="H301" s="74">
        <v>3.7699999999999997E-2</v>
      </c>
    </row>
    <row r="302" spans="1:8" ht="15.6">
      <c r="A302" s="468" t="s">
        <v>730</v>
      </c>
      <c r="B302" s="67">
        <v>73</v>
      </c>
      <c r="C302" s="69" t="s">
        <v>15</v>
      </c>
      <c r="D302" s="71" t="s">
        <v>28</v>
      </c>
      <c r="E302" s="70">
        <v>16.863910000000001</v>
      </c>
      <c r="F302" s="74">
        <v>0.5544</v>
      </c>
      <c r="G302" s="70">
        <v>1.1120099999999999</v>
      </c>
      <c r="H302" s="74">
        <v>3.6600000000000001E-2</v>
      </c>
    </row>
    <row r="303" spans="1:8" ht="15.6">
      <c r="A303" s="468" t="s">
        <v>731</v>
      </c>
      <c r="B303" s="67">
        <v>74</v>
      </c>
      <c r="C303" s="69" t="s">
        <v>15</v>
      </c>
      <c r="D303" s="71" t="s">
        <v>79</v>
      </c>
      <c r="E303" s="70">
        <v>15.66671</v>
      </c>
      <c r="F303" s="74">
        <v>0.5151</v>
      </c>
      <c r="G303" s="70">
        <v>1.0112300000000001</v>
      </c>
      <c r="H303" s="74">
        <v>3.3300000000000003E-2</v>
      </c>
    </row>
    <row r="304" spans="1:8" ht="15.6">
      <c r="A304" s="468" t="s">
        <v>732</v>
      </c>
      <c r="B304" s="67">
        <v>75</v>
      </c>
      <c r="C304" s="69" t="s">
        <v>15</v>
      </c>
      <c r="D304" s="71" t="s">
        <v>29</v>
      </c>
      <c r="E304" s="70">
        <v>7.6297199999999998</v>
      </c>
      <c r="F304" s="74">
        <v>0.25080000000000002</v>
      </c>
      <c r="G304" s="70">
        <v>0.33463999999999999</v>
      </c>
      <c r="H304" s="74">
        <v>1.0999999999999999E-2</v>
      </c>
    </row>
    <row r="305" spans="1:8" ht="15.6">
      <c r="A305" s="468" t="s">
        <v>733</v>
      </c>
      <c r="B305" s="67">
        <v>76</v>
      </c>
      <c r="C305" s="69" t="s">
        <v>15</v>
      </c>
      <c r="D305" s="71" t="s">
        <v>43</v>
      </c>
      <c r="E305" s="70">
        <v>15.388400000000001</v>
      </c>
      <c r="F305" s="74">
        <v>0.50590000000000002</v>
      </c>
      <c r="G305" s="70">
        <v>0.98780999999999997</v>
      </c>
      <c r="H305" s="74">
        <v>3.2500000000000001E-2</v>
      </c>
    </row>
    <row r="306" spans="1:8" ht="15.6">
      <c r="A306" s="468" t="s">
        <v>734</v>
      </c>
      <c r="B306" s="67">
        <v>77</v>
      </c>
      <c r="C306" s="69" t="s">
        <v>15</v>
      </c>
      <c r="D306" s="71" t="s">
        <v>18</v>
      </c>
      <c r="E306" s="70">
        <v>14.673</v>
      </c>
      <c r="F306" s="74">
        <v>0.4824</v>
      </c>
      <c r="G306" s="70">
        <v>0.92754999999999999</v>
      </c>
      <c r="H306" s="74">
        <v>3.0499999999999999E-2</v>
      </c>
    </row>
    <row r="307" spans="1:8" ht="15.6">
      <c r="A307" s="468" t="s">
        <v>735</v>
      </c>
      <c r="B307" s="67">
        <v>1</v>
      </c>
      <c r="C307" s="69" t="s">
        <v>15</v>
      </c>
      <c r="D307" s="71" t="s">
        <v>76</v>
      </c>
      <c r="E307" s="70">
        <v>15.388400000000001</v>
      </c>
      <c r="F307" s="74">
        <v>0.50590000000000002</v>
      </c>
      <c r="G307" s="70">
        <v>0.98780999999999997</v>
      </c>
      <c r="H307" s="74">
        <v>3.2500000000000001E-2</v>
      </c>
    </row>
    <row r="308" spans="1:8" ht="15.6">
      <c r="A308" s="468" t="s">
        <v>736</v>
      </c>
      <c r="B308" s="67">
        <v>2</v>
      </c>
      <c r="C308" s="69" t="s">
        <v>15</v>
      </c>
      <c r="D308" s="71" t="s">
        <v>19</v>
      </c>
      <c r="E308" s="70">
        <v>7.0810000000000004</v>
      </c>
      <c r="F308" s="74">
        <v>0.23280000000000001</v>
      </c>
      <c r="G308" s="70">
        <v>0.28844999999999998</v>
      </c>
      <c r="H308" s="74">
        <v>9.4999999999999998E-3</v>
      </c>
    </row>
    <row r="309" spans="1:8" ht="15.6">
      <c r="A309" s="468" t="s">
        <v>737</v>
      </c>
      <c r="B309" s="67">
        <v>3</v>
      </c>
      <c r="C309" s="69" t="s">
        <v>15</v>
      </c>
      <c r="D309" s="71" t="s">
        <v>23</v>
      </c>
      <c r="E309" s="70">
        <v>8.0406499999999994</v>
      </c>
      <c r="F309" s="74">
        <v>0.26440000000000002</v>
      </c>
      <c r="G309" s="70">
        <v>0.36919999999999997</v>
      </c>
      <c r="H309" s="74">
        <v>1.21E-2</v>
      </c>
    </row>
    <row r="310" spans="1:8" ht="15.6">
      <c r="A310" s="468" t="s">
        <v>738</v>
      </c>
      <c r="B310" s="67">
        <v>4</v>
      </c>
      <c r="C310" s="69" t="s">
        <v>15</v>
      </c>
      <c r="D310" s="71" t="s">
        <v>20</v>
      </c>
      <c r="E310" s="70">
        <v>8.1285500000000006</v>
      </c>
      <c r="F310" s="74">
        <v>0.26719999999999999</v>
      </c>
      <c r="G310" s="70">
        <v>0.37663000000000002</v>
      </c>
      <c r="H310" s="74">
        <v>1.24E-2</v>
      </c>
    </row>
    <row r="311" spans="1:8" ht="15.6">
      <c r="A311" s="468" t="s">
        <v>739</v>
      </c>
      <c r="B311" s="67">
        <v>5</v>
      </c>
      <c r="C311" s="69" t="s">
        <v>15</v>
      </c>
      <c r="D311" s="71" t="s">
        <v>53</v>
      </c>
      <c r="E311" s="70">
        <v>20.87405</v>
      </c>
      <c r="F311" s="74">
        <v>0.68630000000000002</v>
      </c>
      <c r="G311" s="70">
        <v>1.4496199999999999</v>
      </c>
      <c r="H311" s="74">
        <v>4.7699999999999999E-2</v>
      </c>
    </row>
    <row r="312" spans="1:8" ht="15.6">
      <c r="A312" s="468" t="s">
        <v>740</v>
      </c>
      <c r="B312" s="67">
        <v>6</v>
      </c>
      <c r="C312" s="69" t="s">
        <v>15</v>
      </c>
      <c r="D312" s="71" t="s">
        <v>41</v>
      </c>
      <c r="E312" s="70">
        <v>20.961040000000001</v>
      </c>
      <c r="F312" s="74">
        <v>0.68910000000000005</v>
      </c>
      <c r="G312" s="70">
        <v>1.4569399999999999</v>
      </c>
      <c r="H312" s="74">
        <v>4.7899999999999998E-2</v>
      </c>
    </row>
    <row r="313" spans="1:8" ht="15.6">
      <c r="A313" s="468" t="s">
        <v>741</v>
      </c>
      <c r="B313" s="67">
        <v>7</v>
      </c>
      <c r="C313" s="69" t="s">
        <v>15</v>
      </c>
      <c r="D313" s="71" t="s">
        <v>36</v>
      </c>
      <c r="E313" s="70">
        <v>18.655149999999999</v>
      </c>
      <c r="F313" s="74">
        <v>0.61329999999999996</v>
      </c>
      <c r="G313" s="70">
        <v>1.2627999999999999</v>
      </c>
      <c r="H313" s="74">
        <v>4.1500000000000002E-2</v>
      </c>
    </row>
    <row r="314" spans="1:8" ht="15.6">
      <c r="A314" s="468" t="s">
        <v>742</v>
      </c>
      <c r="B314" s="67">
        <v>8</v>
      </c>
      <c r="C314" s="69" t="s">
        <v>15</v>
      </c>
      <c r="D314" s="71" t="s">
        <v>15</v>
      </c>
      <c r="E314" s="70">
        <v>4.0423799999999996</v>
      </c>
      <c r="F314" s="74">
        <v>0.13289999999999999</v>
      </c>
      <c r="G314" s="70">
        <v>3.261E-2</v>
      </c>
      <c r="H314" s="74">
        <v>1.1000000000000001E-3</v>
      </c>
    </row>
    <row r="315" spans="1:8" ht="15.6">
      <c r="A315" s="468" t="s">
        <v>743</v>
      </c>
      <c r="B315" s="67">
        <v>9</v>
      </c>
      <c r="C315" s="69" t="s">
        <v>15</v>
      </c>
      <c r="D315" s="71" t="s">
        <v>16</v>
      </c>
      <c r="E315" s="70">
        <v>12.65485</v>
      </c>
      <c r="F315" s="74">
        <v>0.41610000000000003</v>
      </c>
      <c r="G315" s="70">
        <v>0.75766999999999995</v>
      </c>
      <c r="H315" s="74">
        <v>2.4899999999999999E-2</v>
      </c>
    </row>
    <row r="316" spans="1:8" ht="15.6">
      <c r="A316" s="468" t="s">
        <v>744</v>
      </c>
      <c r="B316" s="67">
        <v>10</v>
      </c>
      <c r="C316" s="69" t="s">
        <v>15</v>
      </c>
      <c r="D316" s="71" t="s">
        <v>17</v>
      </c>
      <c r="E316" s="70">
        <v>56.882510000000003</v>
      </c>
      <c r="F316" s="74">
        <v>1.8701000000000001</v>
      </c>
      <c r="G316" s="70">
        <v>4.4810100000000004</v>
      </c>
      <c r="H316" s="74">
        <v>0.14729999999999999</v>
      </c>
    </row>
    <row r="317" spans="1:8" ht="15.6">
      <c r="A317" s="468" t="s">
        <v>745</v>
      </c>
      <c r="B317" s="67">
        <v>11</v>
      </c>
      <c r="C317" s="69" t="s">
        <v>15</v>
      </c>
      <c r="D317" s="71" t="s">
        <v>10</v>
      </c>
      <c r="E317" s="70">
        <v>56.882510000000003</v>
      </c>
      <c r="F317" s="74">
        <v>1.8701000000000001</v>
      </c>
      <c r="G317" s="70">
        <v>4.4810100000000004</v>
      </c>
      <c r="H317" s="74">
        <v>0.14729999999999999</v>
      </c>
    </row>
    <row r="318" spans="1:8" ht="15.6">
      <c r="A318" s="468" t="s">
        <v>746</v>
      </c>
      <c r="B318" s="67">
        <v>12</v>
      </c>
      <c r="C318" s="69" t="s">
        <v>15</v>
      </c>
      <c r="D318" s="71" t="s">
        <v>22</v>
      </c>
      <c r="E318" s="70">
        <v>5.2900700000000001</v>
      </c>
      <c r="F318" s="74">
        <v>0.1739</v>
      </c>
      <c r="G318" s="70">
        <v>0.13766</v>
      </c>
      <c r="H318" s="74">
        <v>4.4999999999999997E-3</v>
      </c>
    </row>
    <row r="319" spans="1:8" ht="15.6">
      <c r="A319" s="468" t="s">
        <v>747</v>
      </c>
      <c r="B319" s="67">
        <v>13</v>
      </c>
      <c r="C319" s="69" t="s">
        <v>15</v>
      </c>
      <c r="D319" s="71" t="s">
        <v>35</v>
      </c>
      <c r="E319" s="70">
        <v>16.312149999999999</v>
      </c>
      <c r="F319" s="74">
        <v>0.5363</v>
      </c>
      <c r="G319" s="70">
        <v>1.06558</v>
      </c>
      <c r="H319" s="74">
        <v>3.5000000000000003E-2</v>
      </c>
    </row>
    <row r="320" spans="1:8" ht="15.6">
      <c r="A320" s="468" t="s">
        <v>748</v>
      </c>
      <c r="B320" s="67">
        <v>14</v>
      </c>
      <c r="C320" s="69" t="s">
        <v>15</v>
      </c>
      <c r="D320" s="71" t="s">
        <v>24</v>
      </c>
      <c r="E320" s="70">
        <v>7.7568599999999996</v>
      </c>
      <c r="F320" s="74">
        <v>0.255</v>
      </c>
      <c r="G320" s="70">
        <v>0.34533999999999998</v>
      </c>
      <c r="H320" s="74">
        <v>1.14E-2</v>
      </c>
    </row>
    <row r="321" spans="1:8" ht="15.6">
      <c r="A321" s="468" t="s">
        <v>749</v>
      </c>
      <c r="B321" s="67">
        <v>15</v>
      </c>
      <c r="C321" s="69" t="s">
        <v>15</v>
      </c>
      <c r="D321" s="71" t="s">
        <v>37</v>
      </c>
      <c r="E321" s="70">
        <v>18.597359999999998</v>
      </c>
      <c r="F321" s="74">
        <v>0.61140000000000005</v>
      </c>
      <c r="G321" s="70">
        <v>1.2579400000000001</v>
      </c>
      <c r="H321" s="74">
        <v>4.1399999999999999E-2</v>
      </c>
    </row>
    <row r="322" spans="1:8" ht="15.6">
      <c r="A322" s="468" t="s">
        <v>750</v>
      </c>
      <c r="B322" s="67">
        <v>16</v>
      </c>
      <c r="C322" s="69" t="s">
        <v>15</v>
      </c>
      <c r="D322" s="71" t="s">
        <v>38</v>
      </c>
      <c r="E322" s="70">
        <v>15.263389999999999</v>
      </c>
      <c r="F322" s="74">
        <v>0.50180000000000002</v>
      </c>
      <c r="G322" s="70">
        <v>0.97728000000000004</v>
      </c>
      <c r="H322" s="74">
        <v>3.2099999999999997E-2</v>
      </c>
    </row>
    <row r="323" spans="1:8" ht="15.6">
      <c r="A323" s="468" t="s">
        <v>751</v>
      </c>
      <c r="B323" s="67">
        <v>17</v>
      </c>
      <c r="C323" s="69" t="s">
        <v>15</v>
      </c>
      <c r="D323" s="71" t="s">
        <v>26</v>
      </c>
      <c r="E323" s="70">
        <v>8.1790400000000005</v>
      </c>
      <c r="F323" s="74">
        <v>0.26889999999999997</v>
      </c>
      <c r="G323" s="70">
        <v>0.38088</v>
      </c>
      <c r="H323" s="74">
        <v>1.2500000000000001E-2</v>
      </c>
    </row>
    <row r="324" spans="1:8" ht="15.6">
      <c r="A324" s="468" t="s">
        <v>752</v>
      </c>
      <c r="B324" s="67">
        <v>18</v>
      </c>
      <c r="C324" s="69" t="s">
        <v>15</v>
      </c>
      <c r="D324" s="71" t="s">
        <v>52</v>
      </c>
      <c r="E324" s="70">
        <v>53.451210000000003</v>
      </c>
      <c r="F324" s="74">
        <v>1.7573000000000001</v>
      </c>
      <c r="G324" s="70">
        <v>4.1921499999999998</v>
      </c>
      <c r="H324" s="74">
        <v>0.13780000000000001</v>
      </c>
    </row>
    <row r="325" spans="1:8" ht="15.6">
      <c r="A325" s="468" t="s">
        <v>753</v>
      </c>
      <c r="B325" s="67">
        <v>19</v>
      </c>
      <c r="C325" s="69" t="s">
        <v>15</v>
      </c>
      <c r="D325" s="71" t="s">
        <v>40</v>
      </c>
      <c r="E325" s="70">
        <v>21.45044</v>
      </c>
      <c r="F325" s="74">
        <v>0.70520000000000005</v>
      </c>
      <c r="G325" s="70">
        <v>1.4981199999999999</v>
      </c>
      <c r="H325" s="74">
        <v>4.9299999999999997E-2</v>
      </c>
    </row>
    <row r="326" spans="1:8" ht="15.6">
      <c r="A326" s="468" t="s">
        <v>754</v>
      </c>
      <c r="B326" s="67">
        <v>20</v>
      </c>
      <c r="C326" s="69" t="s">
        <v>15</v>
      </c>
      <c r="D326" s="71" t="s">
        <v>34</v>
      </c>
      <c r="E326" s="70">
        <v>62.896500000000003</v>
      </c>
      <c r="F326" s="74">
        <v>2.0678000000000001</v>
      </c>
      <c r="G326" s="70">
        <v>4.9873000000000003</v>
      </c>
      <c r="H326" s="74">
        <v>0.16400000000000001</v>
      </c>
    </row>
    <row r="327" spans="1:8" ht="15.6">
      <c r="A327" s="468" t="s">
        <v>755</v>
      </c>
      <c r="B327" s="67">
        <v>21</v>
      </c>
      <c r="C327" s="69" t="s">
        <v>15</v>
      </c>
      <c r="D327" s="71" t="s">
        <v>54</v>
      </c>
      <c r="E327" s="70">
        <v>20.87405</v>
      </c>
      <c r="F327" s="74">
        <v>0.68630000000000002</v>
      </c>
      <c r="G327" s="70">
        <v>1.4496199999999999</v>
      </c>
      <c r="H327" s="74">
        <v>4.7699999999999999E-2</v>
      </c>
    </row>
    <row r="328" spans="1:8" ht="15.6">
      <c r="A328" s="468" t="s">
        <v>756</v>
      </c>
      <c r="B328" s="67">
        <v>22</v>
      </c>
      <c r="C328" s="69" t="s">
        <v>16</v>
      </c>
      <c r="D328" s="71" t="s">
        <v>12</v>
      </c>
      <c r="E328" s="70">
        <v>86.296040000000005</v>
      </c>
      <c r="F328" s="74">
        <v>2.8371</v>
      </c>
      <c r="G328" s="70">
        <v>6.9572000000000003</v>
      </c>
      <c r="H328" s="74">
        <v>0.22869999999999999</v>
      </c>
    </row>
    <row r="329" spans="1:8" ht="15.6">
      <c r="A329" s="468" t="s">
        <v>757</v>
      </c>
      <c r="B329" s="67">
        <v>23</v>
      </c>
      <c r="C329" s="69" t="s">
        <v>16</v>
      </c>
      <c r="D329" s="71" t="s">
        <v>51</v>
      </c>
      <c r="E329" s="70">
        <v>75.806240000000003</v>
      </c>
      <c r="F329" s="74">
        <v>2.4923000000000002</v>
      </c>
      <c r="G329" s="70">
        <v>6.0741300000000003</v>
      </c>
      <c r="H329" s="74">
        <v>0.19969999999999999</v>
      </c>
    </row>
    <row r="330" spans="1:8" ht="15.6">
      <c r="A330" s="468" t="s">
        <v>758</v>
      </c>
      <c r="B330" s="67">
        <v>24</v>
      </c>
      <c r="C330" s="69" t="s">
        <v>16</v>
      </c>
      <c r="D330" s="71" t="s">
        <v>13</v>
      </c>
      <c r="E330" s="70">
        <v>71.50958</v>
      </c>
      <c r="F330" s="74">
        <v>2.351</v>
      </c>
      <c r="G330" s="70">
        <v>5.7123799999999996</v>
      </c>
      <c r="H330" s="74">
        <v>0.18779999999999999</v>
      </c>
    </row>
    <row r="331" spans="1:8" ht="15.6">
      <c r="A331" s="468" t="s">
        <v>759</v>
      </c>
      <c r="B331" s="67">
        <v>25</v>
      </c>
      <c r="C331" s="69" t="s">
        <v>16</v>
      </c>
      <c r="D331" s="71" t="s">
        <v>9</v>
      </c>
      <c r="E331" s="70">
        <v>65.046949999999995</v>
      </c>
      <c r="F331" s="74">
        <v>2.1385000000000001</v>
      </c>
      <c r="G331" s="70">
        <v>5.1683500000000002</v>
      </c>
      <c r="H331" s="74">
        <v>0.1699</v>
      </c>
    </row>
    <row r="332" spans="1:8" ht="15.6">
      <c r="A332" s="468" t="s">
        <v>760</v>
      </c>
      <c r="B332" s="67">
        <v>26</v>
      </c>
      <c r="C332" s="69" t="s">
        <v>16</v>
      </c>
      <c r="D332" s="71" t="s">
        <v>14</v>
      </c>
      <c r="E332" s="70">
        <v>62.063989999999997</v>
      </c>
      <c r="F332" s="74">
        <v>2.0405000000000002</v>
      </c>
      <c r="G332" s="70">
        <v>4.9172099999999999</v>
      </c>
      <c r="H332" s="74">
        <v>0.16170000000000001</v>
      </c>
    </row>
    <row r="333" spans="1:8" ht="15.6">
      <c r="A333" s="468" t="s">
        <v>761</v>
      </c>
      <c r="B333" s="67">
        <v>27</v>
      </c>
      <c r="C333" s="69" t="s">
        <v>16</v>
      </c>
      <c r="D333" s="71" t="s">
        <v>33</v>
      </c>
      <c r="E333" s="70">
        <v>50.860320000000002</v>
      </c>
      <c r="F333" s="74">
        <v>1.6720999999999999</v>
      </c>
      <c r="G333" s="70">
        <v>3.9740099999999998</v>
      </c>
      <c r="H333" s="74">
        <v>0.13070000000000001</v>
      </c>
    </row>
    <row r="334" spans="1:8" ht="15.6">
      <c r="A334" s="468" t="s">
        <v>762</v>
      </c>
      <c r="B334" s="67">
        <v>28</v>
      </c>
      <c r="C334" s="69" t="s">
        <v>16</v>
      </c>
      <c r="D334" s="71" t="s">
        <v>25</v>
      </c>
      <c r="E334" s="70">
        <v>46.260399999999997</v>
      </c>
      <c r="F334" s="74">
        <v>1.5208999999999999</v>
      </c>
      <c r="G334" s="70">
        <v>3.5868000000000002</v>
      </c>
      <c r="H334" s="74">
        <v>0.1179</v>
      </c>
    </row>
    <row r="335" spans="1:8" ht="15.6">
      <c r="A335" s="468" t="s">
        <v>763</v>
      </c>
      <c r="B335" s="67">
        <v>29</v>
      </c>
      <c r="C335" s="69" t="s">
        <v>16</v>
      </c>
      <c r="D335" s="71" t="s">
        <v>31</v>
      </c>
      <c r="E335" s="70">
        <v>28.087050000000001</v>
      </c>
      <c r="F335" s="74">
        <v>0.9234</v>
      </c>
      <c r="G335" s="70">
        <v>2.0568599999999999</v>
      </c>
      <c r="H335" s="74">
        <v>6.7599999999999993E-2</v>
      </c>
    </row>
    <row r="336" spans="1:8" ht="15.6">
      <c r="A336" s="468" t="s">
        <v>764</v>
      </c>
      <c r="B336" s="67">
        <v>30</v>
      </c>
      <c r="C336" s="69" t="s">
        <v>16</v>
      </c>
      <c r="D336" s="71" t="s">
        <v>45</v>
      </c>
      <c r="E336" s="70">
        <v>38.263860000000001</v>
      </c>
      <c r="F336" s="74">
        <v>1.258</v>
      </c>
      <c r="G336" s="70">
        <v>2.9135800000000001</v>
      </c>
      <c r="H336" s="74">
        <v>9.5799999999999996E-2</v>
      </c>
    </row>
    <row r="337" spans="1:8" ht="15.6">
      <c r="A337" s="468" t="s">
        <v>765</v>
      </c>
      <c r="B337" s="67">
        <v>31</v>
      </c>
      <c r="C337" s="69" t="s">
        <v>16</v>
      </c>
      <c r="D337" s="71" t="s">
        <v>27</v>
      </c>
      <c r="E337" s="70">
        <v>31.967610000000001</v>
      </c>
      <c r="F337" s="74">
        <v>1.0509999999999999</v>
      </c>
      <c r="G337" s="70">
        <v>2.38354</v>
      </c>
      <c r="H337" s="74">
        <v>7.8399999999999997E-2</v>
      </c>
    </row>
    <row r="338" spans="1:8" ht="15.6">
      <c r="A338" s="468" t="s">
        <v>766</v>
      </c>
      <c r="B338" s="67">
        <v>32</v>
      </c>
      <c r="C338" s="69" t="s">
        <v>16</v>
      </c>
      <c r="D338" s="71" t="s">
        <v>21</v>
      </c>
      <c r="E338" s="70">
        <v>27.288920000000001</v>
      </c>
      <c r="F338" s="74">
        <v>0.8972</v>
      </c>
      <c r="G338" s="70">
        <v>1.9896499999999999</v>
      </c>
      <c r="H338" s="74">
        <v>6.54E-2</v>
      </c>
    </row>
    <row r="339" spans="1:8" ht="15.6">
      <c r="A339" s="468" t="s">
        <v>767</v>
      </c>
      <c r="B339" s="67">
        <v>33</v>
      </c>
      <c r="C339" s="69" t="s">
        <v>16</v>
      </c>
      <c r="D339" s="71" t="s">
        <v>32</v>
      </c>
      <c r="E339" s="70">
        <v>44.199979999999996</v>
      </c>
      <c r="F339" s="74">
        <v>1.4532</v>
      </c>
      <c r="G339" s="70">
        <v>3.4133100000000001</v>
      </c>
      <c r="H339" s="74">
        <v>0.11219999999999999</v>
      </c>
    </row>
    <row r="340" spans="1:8" ht="15.6">
      <c r="A340" s="468" t="s">
        <v>768</v>
      </c>
      <c r="B340" s="67">
        <v>34</v>
      </c>
      <c r="C340" s="69" t="s">
        <v>16</v>
      </c>
      <c r="D340" s="71" t="s">
        <v>30</v>
      </c>
      <c r="E340" s="70">
        <v>25.902229999999999</v>
      </c>
      <c r="F340" s="74">
        <v>0.85160000000000002</v>
      </c>
      <c r="G340" s="70">
        <v>1.8729199999999999</v>
      </c>
      <c r="H340" s="74">
        <v>6.1600000000000002E-2</v>
      </c>
    </row>
    <row r="341" spans="1:8" ht="15.6">
      <c r="A341" s="468" t="s">
        <v>769</v>
      </c>
      <c r="B341" s="67">
        <v>35</v>
      </c>
      <c r="C341" s="69" t="s">
        <v>16</v>
      </c>
      <c r="D341" s="71" t="s">
        <v>28</v>
      </c>
      <c r="E341" s="70">
        <v>25.476700000000001</v>
      </c>
      <c r="F341" s="74">
        <v>0.83760000000000001</v>
      </c>
      <c r="G341" s="70">
        <v>1.83707</v>
      </c>
      <c r="H341" s="74">
        <v>6.0400000000000002E-2</v>
      </c>
    </row>
    <row r="342" spans="1:8" ht="15.6">
      <c r="A342" s="468" t="s">
        <v>770</v>
      </c>
      <c r="B342" s="67">
        <v>36</v>
      </c>
      <c r="C342" s="69" t="s">
        <v>16</v>
      </c>
      <c r="D342" s="71" t="s">
        <v>79</v>
      </c>
      <c r="E342" s="70">
        <v>24.279499999999999</v>
      </c>
      <c r="F342" s="74">
        <v>0.79820000000000002</v>
      </c>
      <c r="G342" s="70">
        <v>1.7363200000000001</v>
      </c>
      <c r="H342" s="74">
        <v>5.7099999999999998E-2</v>
      </c>
    </row>
    <row r="343" spans="1:8" ht="15.6">
      <c r="A343" s="468" t="s">
        <v>771</v>
      </c>
      <c r="B343" s="67">
        <v>37</v>
      </c>
      <c r="C343" s="69" t="s">
        <v>16</v>
      </c>
      <c r="D343" s="71" t="s">
        <v>29</v>
      </c>
      <c r="E343" s="70">
        <v>16.242799999999999</v>
      </c>
      <c r="F343" s="74">
        <v>0.53400000000000003</v>
      </c>
      <c r="G343" s="70">
        <v>1.0597399999999999</v>
      </c>
      <c r="H343" s="74">
        <v>3.4799999999999998E-2</v>
      </c>
    </row>
    <row r="344" spans="1:8" ht="15.6">
      <c r="A344" s="468" t="s">
        <v>772</v>
      </c>
      <c r="B344" s="67">
        <v>38</v>
      </c>
      <c r="C344" s="69" t="s">
        <v>16</v>
      </c>
      <c r="D344" s="71" t="s">
        <v>43</v>
      </c>
      <c r="E344" s="70">
        <v>24.000879999999999</v>
      </c>
      <c r="F344" s="74">
        <v>0.78910000000000002</v>
      </c>
      <c r="G344" s="70">
        <v>1.7128699999999999</v>
      </c>
      <c r="H344" s="74">
        <v>5.6300000000000003E-2</v>
      </c>
    </row>
    <row r="345" spans="1:8" ht="15.6">
      <c r="A345" s="468" t="s">
        <v>773</v>
      </c>
      <c r="B345" s="67">
        <v>39</v>
      </c>
      <c r="C345" s="69" t="s">
        <v>16</v>
      </c>
      <c r="D345" s="71" t="s">
        <v>18</v>
      </c>
      <c r="E345" s="70">
        <v>23.286090000000002</v>
      </c>
      <c r="F345" s="74">
        <v>0.76559999999999995</v>
      </c>
      <c r="G345" s="70">
        <v>1.65266</v>
      </c>
      <c r="H345" s="74">
        <v>5.4300000000000001E-2</v>
      </c>
    </row>
    <row r="346" spans="1:8" ht="15.6">
      <c r="A346" s="468" t="s">
        <v>774</v>
      </c>
      <c r="B346" s="67">
        <v>40</v>
      </c>
      <c r="C346" s="69" t="s">
        <v>16</v>
      </c>
      <c r="D346" s="71" t="s">
        <v>76</v>
      </c>
      <c r="E346" s="70">
        <v>24.000879999999999</v>
      </c>
      <c r="F346" s="74">
        <v>0.78910000000000002</v>
      </c>
      <c r="G346" s="70">
        <v>1.7128699999999999</v>
      </c>
      <c r="H346" s="74">
        <v>5.6300000000000003E-2</v>
      </c>
    </row>
    <row r="347" spans="1:8" ht="15.6">
      <c r="A347" s="468" t="s">
        <v>775</v>
      </c>
      <c r="B347" s="67">
        <v>41</v>
      </c>
      <c r="C347" s="69" t="s">
        <v>16</v>
      </c>
      <c r="D347" s="71" t="s">
        <v>19</v>
      </c>
      <c r="E347" s="70">
        <v>15.66337</v>
      </c>
      <c r="F347" s="74">
        <v>0.51500000000000001</v>
      </c>
      <c r="G347" s="70">
        <v>1.0109699999999999</v>
      </c>
      <c r="H347" s="74">
        <v>3.32E-2</v>
      </c>
    </row>
    <row r="348" spans="1:8" ht="15.6">
      <c r="A348" s="468" t="s">
        <v>776</v>
      </c>
      <c r="B348" s="67">
        <v>42</v>
      </c>
      <c r="C348" s="69" t="s">
        <v>16</v>
      </c>
      <c r="D348" s="71" t="s">
        <v>23</v>
      </c>
      <c r="E348" s="70">
        <v>16.653130000000001</v>
      </c>
      <c r="F348" s="74">
        <v>0.54749999999999999</v>
      </c>
      <c r="G348" s="70">
        <v>1.09426</v>
      </c>
      <c r="H348" s="74">
        <v>3.5999999999999997E-2</v>
      </c>
    </row>
    <row r="349" spans="1:8" ht="15.6">
      <c r="A349" s="468" t="s">
        <v>777</v>
      </c>
      <c r="B349" s="67">
        <v>43</v>
      </c>
      <c r="C349" s="69" t="s">
        <v>16</v>
      </c>
      <c r="D349" s="71" t="s">
        <v>20</v>
      </c>
      <c r="E349" s="70">
        <v>11.28702</v>
      </c>
      <c r="F349" s="74">
        <v>0.37109999999999999</v>
      </c>
      <c r="G349" s="70">
        <v>0.64253000000000005</v>
      </c>
      <c r="H349" s="74">
        <v>2.1100000000000001E-2</v>
      </c>
    </row>
    <row r="350" spans="1:8" ht="15.6">
      <c r="A350" s="468" t="s">
        <v>778</v>
      </c>
      <c r="B350" s="67">
        <v>44</v>
      </c>
      <c r="C350" s="69" t="s">
        <v>16</v>
      </c>
      <c r="D350" s="71" t="s">
        <v>53</v>
      </c>
      <c r="E350" s="70">
        <v>29.486830000000001</v>
      </c>
      <c r="F350" s="74">
        <v>0.96940000000000004</v>
      </c>
      <c r="G350" s="70">
        <v>2.1746799999999999</v>
      </c>
      <c r="H350" s="74">
        <v>7.1499999999999994E-2</v>
      </c>
    </row>
    <row r="351" spans="1:8" ht="15.6">
      <c r="A351" s="468" t="s">
        <v>779</v>
      </c>
      <c r="B351" s="67">
        <v>45</v>
      </c>
      <c r="C351" s="69" t="s">
        <v>16</v>
      </c>
      <c r="D351" s="71" t="s">
        <v>41</v>
      </c>
      <c r="E351" s="70">
        <v>29.573820000000001</v>
      </c>
      <c r="F351" s="74">
        <v>0.97230000000000005</v>
      </c>
      <c r="G351" s="70">
        <v>2.18201</v>
      </c>
      <c r="H351" s="74">
        <v>7.17E-2</v>
      </c>
    </row>
    <row r="352" spans="1:8" ht="15.6">
      <c r="A352" s="468" t="s">
        <v>780</v>
      </c>
      <c r="B352" s="67">
        <v>46</v>
      </c>
      <c r="C352" s="69" t="s">
        <v>16</v>
      </c>
      <c r="D352" s="71" t="s">
        <v>36</v>
      </c>
      <c r="E352" s="70">
        <v>27.26763</v>
      </c>
      <c r="F352" s="74">
        <v>0.89649999999999996</v>
      </c>
      <c r="G352" s="70">
        <v>1.98786</v>
      </c>
      <c r="H352" s="74">
        <v>6.54E-2</v>
      </c>
    </row>
    <row r="353" spans="1:8" ht="15.6">
      <c r="A353" s="468" t="s">
        <v>781</v>
      </c>
      <c r="B353" s="67">
        <v>47</v>
      </c>
      <c r="C353" s="69" t="s">
        <v>16</v>
      </c>
      <c r="D353" s="71" t="s">
        <v>15</v>
      </c>
      <c r="E353" s="70">
        <v>12.65485</v>
      </c>
      <c r="F353" s="74">
        <v>0.41610000000000003</v>
      </c>
      <c r="G353" s="70">
        <v>0.75766999999999995</v>
      </c>
      <c r="H353" s="74">
        <v>2.4899999999999999E-2</v>
      </c>
    </row>
    <row r="354" spans="1:8" ht="15.6">
      <c r="A354" s="468" t="s">
        <v>782</v>
      </c>
      <c r="B354" s="67">
        <v>48</v>
      </c>
      <c r="C354" s="69" t="s">
        <v>16</v>
      </c>
      <c r="D354" s="71" t="s">
        <v>16</v>
      </c>
      <c r="E354" s="70">
        <v>4.0423799999999996</v>
      </c>
      <c r="F354" s="74">
        <v>0.13289999999999999</v>
      </c>
      <c r="G354" s="70">
        <v>3.261E-2</v>
      </c>
      <c r="H354" s="74">
        <v>1.1000000000000001E-3</v>
      </c>
    </row>
    <row r="355" spans="1:8" ht="15.6">
      <c r="A355" s="468" t="s">
        <v>783</v>
      </c>
      <c r="B355" s="67">
        <v>49</v>
      </c>
      <c r="C355" s="69" t="s">
        <v>16</v>
      </c>
      <c r="D355" s="71" t="s">
        <v>17</v>
      </c>
      <c r="E355" s="70">
        <v>65.4953</v>
      </c>
      <c r="F355" s="74">
        <v>2.1533000000000002</v>
      </c>
      <c r="G355" s="70">
        <v>5.2060700000000004</v>
      </c>
      <c r="H355" s="74">
        <v>0.17119999999999999</v>
      </c>
    </row>
    <row r="356" spans="1:8" ht="15.6">
      <c r="A356" s="468" t="s">
        <v>784</v>
      </c>
      <c r="B356" s="67">
        <v>50</v>
      </c>
      <c r="C356" s="69" t="s">
        <v>16</v>
      </c>
      <c r="D356" s="71" t="s">
        <v>10</v>
      </c>
      <c r="E356" s="70">
        <v>65.4953</v>
      </c>
      <c r="F356" s="74">
        <v>2.1533000000000002</v>
      </c>
      <c r="G356" s="70">
        <v>5.2060700000000004</v>
      </c>
      <c r="H356" s="74">
        <v>0.17119999999999999</v>
      </c>
    </row>
    <row r="357" spans="1:8" ht="15.6">
      <c r="A357" s="468" t="s">
        <v>785</v>
      </c>
      <c r="B357" s="67">
        <v>51</v>
      </c>
      <c r="C357" s="69" t="s">
        <v>16</v>
      </c>
      <c r="D357" s="71" t="s">
        <v>22</v>
      </c>
      <c r="E357" s="70">
        <v>13.90255</v>
      </c>
      <c r="F357" s="74">
        <v>0.45710000000000001</v>
      </c>
      <c r="G357" s="70">
        <v>0.86272000000000004</v>
      </c>
      <c r="H357" s="74">
        <v>2.8400000000000002E-2</v>
      </c>
    </row>
    <row r="358" spans="1:8" ht="15.6">
      <c r="A358" s="468" t="s">
        <v>786</v>
      </c>
      <c r="B358" s="67">
        <v>52</v>
      </c>
      <c r="C358" s="69" t="s">
        <v>16</v>
      </c>
      <c r="D358" s="71" t="s">
        <v>35</v>
      </c>
      <c r="E358" s="70">
        <v>24.924939999999999</v>
      </c>
      <c r="F358" s="74">
        <v>0.81950000000000001</v>
      </c>
      <c r="G358" s="70">
        <v>1.79064</v>
      </c>
      <c r="H358" s="74">
        <v>5.8900000000000001E-2</v>
      </c>
    </row>
    <row r="359" spans="1:8" ht="15.6">
      <c r="A359" s="468" t="s">
        <v>787</v>
      </c>
      <c r="B359" s="67">
        <v>53</v>
      </c>
      <c r="C359" s="69" t="s">
        <v>16</v>
      </c>
      <c r="D359" s="71" t="s">
        <v>24</v>
      </c>
      <c r="E359" s="70">
        <v>13.44782</v>
      </c>
      <c r="F359" s="74">
        <v>0.44209999999999999</v>
      </c>
      <c r="G359" s="70">
        <v>0.82442000000000004</v>
      </c>
      <c r="H359" s="74">
        <v>2.7099999999999999E-2</v>
      </c>
    </row>
    <row r="360" spans="1:8" ht="15.6">
      <c r="A360" s="468" t="s">
        <v>788</v>
      </c>
      <c r="B360" s="67">
        <v>54</v>
      </c>
      <c r="C360" s="69" t="s">
        <v>16</v>
      </c>
      <c r="D360" s="71" t="s">
        <v>37</v>
      </c>
      <c r="E360" s="70">
        <v>27.210139999999999</v>
      </c>
      <c r="F360" s="74">
        <v>0.89459999999999995</v>
      </c>
      <c r="G360" s="70">
        <v>1.9830000000000001</v>
      </c>
      <c r="H360" s="74">
        <v>6.5199999999999994E-2</v>
      </c>
    </row>
    <row r="361" spans="1:8" ht="15.6">
      <c r="A361" s="468" t="s">
        <v>789</v>
      </c>
      <c r="B361" s="67">
        <v>55</v>
      </c>
      <c r="C361" s="69" t="s">
        <v>16</v>
      </c>
      <c r="D361" s="71" t="s">
        <v>38</v>
      </c>
      <c r="E361" s="70">
        <v>23.876480000000001</v>
      </c>
      <c r="F361" s="74">
        <v>0.78500000000000003</v>
      </c>
      <c r="G361" s="70">
        <v>1.7023600000000001</v>
      </c>
      <c r="H361" s="74">
        <v>5.6000000000000001E-2</v>
      </c>
    </row>
    <row r="362" spans="1:8" ht="15.6">
      <c r="A362" s="468" t="s">
        <v>790</v>
      </c>
      <c r="B362" s="67">
        <v>56</v>
      </c>
      <c r="C362" s="69" t="s">
        <v>16</v>
      </c>
      <c r="D362" s="71" t="s">
        <v>26</v>
      </c>
      <c r="E362" s="70">
        <v>13.8697</v>
      </c>
      <c r="F362" s="74">
        <v>0.45600000000000002</v>
      </c>
      <c r="G362" s="70">
        <v>0.85995999999999995</v>
      </c>
      <c r="H362" s="74">
        <v>2.8299999999999999E-2</v>
      </c>
    </row>
    <row r="363" spans="1:8" ht="15.6">
      <c r="A363" s="468" t="s">
        <v>791</v>
      </c>
      <c r="B363" s="67">
        <v>57</v>
      </c>
      <c r="C363" s="69" t="s">
        <v>16</v>
      </c>
      <c r="D363" s="71" t="s">
        <v>52</v>
      </c>
      <c r="E363" s="70">
        <v>62.063989999999997</v>
      </c>
      <c r="F363" s="74">
        <v>2.0405000000000002</v>
      </c>
      <c r="G363" s="70">
        <v>4.9172099999999999</v>
      </c>
      <c r="H363" s="74">
        <v>0.16170000000000001</v>
      </c>
    </row>
    <row r="364" spans="1:8" ht="15.6">
      <c r="A364" s="468" t="s">
        <v>792</v>
      </c>
      <c r="B364" s="67">
        <v>58</v>
      </c>
      <c r="C364" s="69" t="s">
        <v>16</v>
      </c>
      <c r="D364" s="71" t="s">
        <v>40</v>
      </c>
      <c r="E364" s="70">
        <v>30.063230000000001</v>
      </c>
      <c r="F364" s="74">
        <v>0.98839999999999995</v>
      </c>
      <c r="G364" s="70">
        <v>2.2231800000000002</v>
      </c>
      <c r="H364" s="74">
        <v>7.3099999999999998E-2</v>
      </c>
    </row>
    <row r="365" spans="1:8" ht="15.6">
      <c r="A365" s="468" t="s">
        <v>793</v>
      </c>
      <c r="B365" s="67">
        <v>59</v>
      </c>
      <c r="C365" s="69" t="s">
        <v>16</v>
      </c>
      <c r="D365" s="71" t="s">
        <v>34</v>
      </c>
      <c r="E365" s="70">
        <v>71.50958</v>
      </c>
      <c r="F365" s="74">
        <v>2.351</v>
      </c>
      <c r="G365" s="70">
        <v>5.7123799999999996</v>
      </c>
      <c r="H365" s="74">
        <v>0.18779999999999999</v>
      </c>
    </row>
    <row r="366" spans="1:8" ht="15.6">
      <c r="A366" s="468" t="s">
        <v>794</v>
      </c>
      <c r="B366" s="67">
        <v>60</v>
      </c>
      <c r="C366" s="69" t="s">
        <v>16</v>
      </c>
      <c r="D366" s="71" t="s">
        <v>54</v>
      </c>
      <c r="E366" s="70">
        <v>29.486830000000001</v>
      </c>
      <c r="F366" s="74">
        <v>0.96940000000000004</v>
      </c>
      <c r="G366" s="70">
        <v>2.1746799999999999</v>
      </c>
      <c r="H366" s="74">
        <v>7.1499999999999994E-2</v>
      </c>
    </row>
    <row r="367" spans="1:8" ht="15.6">
      <c r="A367" s="468" t="s">
        <v>795</v>
      </c>
      <c r="B367" s="67">
        <v>61</v>
      </c>
      <c r="C367" s="69" t="s">
        <v>17</v>
      </c>
      <c r="D367" s="71" t="s">
        <v>12</v>
      </c>
      <c r="E367" s="70">
        <v>20.086860000000001</v>
      </c>
      <c r="F367" s="74">
        <v>0.66039999999999999</v>
      </c>
      <c r="G367" s="70">
        <v>2.11557</v>
      </c>
      <c r="H367" s="74">
        <v>6.9599999999999995E-2</v>
      </c>
    </row>
    <row r="368" spans="1:8" ht="15.6">
      <c r="A368" s="468" t="s">
        <v>796</v>
      </c>
      <c r="B368" s="67">
        <v>62</v>
      </c>
      <c r="C368" s="69" t="s">
        <v>17</v>
      </c>
      <c r="D368" s="71" t="s">
        <v>51</v>
      </c>
      <c r="E368" s="70">
        <v>12.76709</v>
      </c>
      <c r="F368" s="74">
        <v>0.41970000000000002</v>
      </c>
      <c r="G368" s="70">
        <v>1.2325299999999999</v>
      </c>
      <c r="H368" s="74">
        <v>4.0500000000000001E-2</v>
      </c>
    </row>
    <row r="369" spans="1:8" ht="15.6">
      <c r="A369" s="468" t="s">
        <v>797</v>
      </c>
      <c r="B369" s="67">
        <v>63</v>
      </c>
      <c r="C369" s="69" t="s">
        <v>17</v>
      </c>
      <c r="D369" s="71" t="s">
        <v>13</v>
      </c>
      <c r="E369" s="70">
        <v>9.7680100000000003</v>
      </c>
      <c r="F369" s="74">
        <v>0.3211</v>
      </c>
      <c r="G369" s="70">
        <v>0.87072000000000005</v>
      </c>
      <c r="H369" s="74">
        <v>2.86E-2</v>
      </c>
    </row>
    <row r="370" spans="1:8" ht="15.6">
      <c r="A370" s="468" t="s">
        <v>798</v>
      </c>
      <c r="B370" s="67">
        <v>64</v>
      </c>
      <c r="C370" s="69" t="s">
        <v>17</v>
      </c>
      <c r="D370" s="71" t="s">
        <v>9</v>
      </c>
      <c r="E370" s="70">
        <v>5.2319699999999996</v>
      </c>
      <c r="F370" s="74">
        <v>0.17199999999999999</v>
      </c>
      <c r="G370" s="70">
        <v>0.32346000000000003</v>
      </c>
      <c r="H370" s="74">
        <v>1.06E-2</v>
      </c>
    </row>
    <row r="371" spans="1:8" ht="15.6">
      <c r="A371" s="468" t="s">
        <v>799</v>
      </c>
      <c r="B371" s="67">
        <v>65</v>
      </c>
      <c r="C371" s="69" t="s">
        <v>17</v>
      </c>
      <c r="D371" s="71" t="s">
        <v>14</v>
      </c>
      <c r="E371" s="70">
        <v>5.2152399999999997</v>
      </c>
      <c r="F371" s="74">
        <v>0.17150000000000001</v>
      </c>
      <c r="G371" s="70">
        <v>0.32146999999999998</v>
      </c>
      <c r="H371" s="74">
        <v>1.06E-2</v>
      </c>
    </row>
    <row r="372" spans="1:8" ht="15.6">
      <c r="A372" s="468" t="s">
        <v>800</v>
      </c>
      <c r="B372" s="67">
        <v>66</v>
      </c>
      <c r="C372" s="69" t="s">
        <v>17</v>
      </c>
      <c r="D372" s="71" t="s">
        <v>33</v>
      </c>
      <c r="E372" s="70">
        <v>13.73495</v>
      </c>
      <c r="F372" s="74">
        <v>0.4516</v>
      </c>
      <c r="G372" s="70">
        <v>1.34927</v>
      </c>
      <c r="H372" s="74">
        <v>4.4400000000000002E-2</v>
      </c>
    </row>
    <row r="373" spans="1:8" ht="15.6">
      <c r="A373" s="468" t="s">
        <v>801</v>
      </c>
      <c r="B373" s="67">
        <v>67</v>
      </c>
      <c r="C373" s="69" t="s">
        <v>17</v>
      </c>
      <c r="D373" s="71" t="s">
        <v>25</v>
      </c>
      <c r="E373" s="70">
        <v>16.243110000000001</v>
      </c>
      <c r="F373" s="74">
        <v>0.53400000000000003</v>
      </c>
      <c r="G373" s="70">
        <v>1.65188</v>
      </c>
      <c r="H373" s="74">
        <v>5.4300000000000001E-2</v>
      </c>
    </row>
    <row r="374" spans="1:8" ht="15.6">
      <c r="A374" s="468" t="s">
        <v>802</v>
      </c>
      <c r="B374" s="67">
        <v>68</v>
      </c>
      <c r="C374" s="69" t="s">
        <v>17</v>
      </c>
      <c r="D374" s="71" t="s">
        <v>31</v>
      </c>
      <c r="E374" s="70">
        <v>28.937809999999999</v>
      </c>
      <c r="F374" s="74">
        <v>0.95140000000000002</v>
      </c>
      <c r="G374" s="70">
        <v>3.1833</v>
      </c>
      <c r="H374" s="74">
        <v>0.1047</v>
      </c>
    </row>
    <row r="375" spans="1:8" ht="15.6">
      <c r="A375" s="468" t="s">
        <v>803</v>
      </c>
      <c r="B375" s="67">
        <v>69</v>
      </c>
      <c r="C375" s="69" t="s">
        <v>17</v>
      </c>
      <c r="D375" s="71" t="s">
        <v>45</v>
      </c>
      <c r="E375" s="70">
        <v>21.82396</v>
      </c>
      <c r="F375" s="74">
        <v>0.71750000000000003</v>
      </c>
      <c r="G375" s="70">
        <v>2.3250999999999999</v>
      </c>
      <c r="H375" s="74">
        <v>7.6399999999999996E-2</v>
      </c>
    </row>
    <row r="376" spans="1:8" ht="15.6">
      <c r="A376" s="468" t="s">
        <v>804</v>
      </c>
      <c r="B376" s="67">
        <v>70</v>
      </c>
      <c r="C376" s="69" t="s">
        <v>17</v>
      </c>
      <c r="D376" s="71" t="s">
        <v>27</v>
      </c>
      <c r="E376" s="70">
        <v>26.217649999999999</v>
      </c>
      <c r="F376" s="74">
        <v>0.86199999999999999</v>
      </c>
      <c r="G376" s="70">
        <v>2.8551600000000001</v>
      </c>
      <c r="H376" s="74">
        <v>9.3899999999999997E-2</v>
      </c>
    </row>
    <row r="377" spans="1:8" ht="15.6">
      <c r="A377" s="468" t="s">
        <v>805</v>
      </c>
      <c r="B377" s="67">
        <v>71</v>
      </c>
      <c r="C377" s="69" t="s">
        <v>17</v>
      </c>
      <c r="D377" s="71" t="s">
        <v>21</v>
      </c>
      <c r="E377" s="70">
        <v>29.833580000000001</v>
      </c>
      <c r="F377" s="74">
        <v>0.98080000000000001</v>
      </c>
      <c r="G377" s="70">
        <v>3.2913700000000001</v>
      </c>
      <c r="H377" s="74">
        <v>0.1082</v>
      </c>
    </row>
    <row r="378" spans="1:8" ht="15.6">
      <c r="A378" s="468" t="s">
        <v>806</v>
      </c>
      <c r="B378" s="67">
        <v>72</v>
      </c>
      <c r="C378" s="69" t="s">
        <v>17</v>
      </c>
      <c r="D378" s="71" t="s">
        <v>32</v>
      </c>
      <c r="E378" s="70">
        <v>22.14668</v>
      </c>
      <c r="F378" s="74">
        <v>0.72809999999999997</v>
      </c>
      <c r="G378" s="70">
        <v>2.36402</v>
      </c>
      <c r="H378" s="74">
        <v>7.7700000000000005E-2</v>
      </c>
    </row>
    <row r="379" spans="1:8" ht="15.6">
      <c r="A379" s="468" t="s">
        <v>807</v>
      </c>
      <c r="B379" s="67">
        <v>73</v>
      </c>
      <c r="C379" s="69" t="s">
        <v>17</v>
      </c>
      <c r="D379" s="71" t="s">
        <v>30</v>
      </c>
      <c r="E379" s="70">
        <v>37.389989999999997</v>
      </c>
      <c r="F379" s="74">
        <v>1.2293000000000001</v>
      </c>
      <c r="G379" s="70">
        <v>3.8931</v>
      </c>
      <c r="H379" s="74">
        <v>0.128</v>
      </c>
    </row>
    <row r="380" spans="1:8" ht="15.6">
      <c r="A380" s="468" t="s">
        <v>808</v>
      </c>
      <c r="B380" s="67">
        <v>74</v>
      </c>
      <c r="C380" s="69" t="s">
        <v>17</v>
      </c>
      <c r="D380" s="71" t="s">
        <v>28</v>
      </c>
      <c r="E380" s="70">
        <v>35.848779999999998</v>
      </c>
      <c r="F380" s="74">
        <v>1.1786000000000001</v>
      </c>
      <c r="G380" s="70">
        <v>3.7199399999999998</v>
      </c>
      <c r="H380" s="74">
        <v>0.12230000000000001</v>
      </c>
    </row>
    <row r="381" spans="1:8" ht="15.6">
      <c r="A381" s="468" t="s">
        <v>809</v>
      </c>
      <c r="B381" s="67">
        <v>75</v>
      </c>
      <c r="C381" s="69" t="s">
        <v>17</v>
      </c>
      <c r="D381" s="71" t="s">
        <v>79</v>
      </c>
      <c r="E381" s="70">
        <v>36.154769999999999</v>
      </c>
      <c r="F381" s="74">
        <v>1.1887000000000001</v>
      </c>
      <c r="G381" s="70">
        <v>3.75434</v>
      </c>
      <c r="H381" s="74">
        <v>0.1234</v>
      </c>
    </row>
    <row r="382" spans="1:8" ht="15.6">
      <c r="A382" s="468" t="s">
        <v>810</v>
      </c>
      <c r="B382" s="67">
        <v>76</v>
      </c>
      <c r="C382" s="69" t="s">
        <v>17</v>
      </c>
      <c r="D382" s="71" t="s">
        <v>29</v>
      </c>
      <c r="E382" s="70">
        <v>41.259900000000002</v>
      </c>
      <c r="F382" s="74">
        <v>1.3565</v>
      </c>
      <c r="G382" s="70">
        <v>4.3278800000000004</v>
      </c>
      <c r="H382" s="74">
        <v>0.14230000000000001</v>
      </c>
    </row>
    <row r="383" spans="1:8" ht="15.6">
      <c r="A383" s="468" t="s">
        <v>811</v>
      </c>
      <c r="B383" s="67">
        <v>77</v>
      </c>
      <c r="C383" s="69" t="s">
        <v>17</v>
      </c>
      <c r="D383" s="71" t="s">
        <v>43</v>
      </c>
      <c r="E383" s="70">
        <v>35.946420000000003</v>
      </c>
      <c r="F383" s="74">
        <v>1.1818</v>
      </c>
      <c r="G383" s="70">
        <v>3.7309100000000002</v>
      </c>
      <c r="H383" s="74">
        <v>0.1227</v>
      </c>
    </row>
    <row r="384" spans="1:8" ht="15.6">
      <c r="A384" s="468" t="s">
        <v>812</v>
      </c>
      <c r="B384" s="67">
        <v>1</v>
      </c>
      <c r="C384" s="69" t="s">
        <v>17</v>
      </c>
      <c r="D384" s="71" t="s">
        <v>18</v>
      </c>
      <c r="E384" s="70">
        <v>37.263460000000002</v>
      </c>
      <c r="F384" s="74">
        <v>1.2251000000000001</v>
      </c>
      <c r="G384" s="70">
        <v>3.8788900000000002</v>
      </c>
      <c r="H384" s="74">
        <v>0.1275</v>
      </c>
    </row>
    <row r="385" spans="1:8" ht="15.6">
      <c r="A385" s="468" t="s">
        <v>813</v>
      </c>
      <c r="B385" s="67">
        <v>2</v>
      </c>
      <c r="C385" s="69" t="s">
        <v>17</v>
      </c>
      <c r="D385" s="71" t="s">
        <v>76</v>
      </c>
      <c r="E385" s="70">
        <v>35.946420000000003</v>
      </c>
      <c r="F385" s="74">
        <v>1.1818</v>
      </c>
      <c r="G385" s="70">
        <v>3.7309100000000002</v>
      </c>
      <c r="H385" s="74">
        <v>0.1227</v>
      </c>
    </row>
    <row r="386" spans="1:8" ht="15.6">
      <c r="A386" s="468" t="s">
        <v>814</v>
      </c>
      <c r="B386" s="67">
        <v>3</v>
      </c>
      <c r="C386" s="69" t="s">
        <v>17</v>
      </c>
      <c r="D386" s="71" t="s">
        <v>19</v>
      </c>
      <c r="E386" s="70">
        <v>41.367579999999997</v>
      </c>
      <c r="F386" s="74">
        <v>1.36</v>
      </c>
      <c r="G386" s="70">
        <v>4.3399900000000002</v>
      </c>
      <c r="H386" s="74">
        <v>0.14269999999999999</v>
      </c>
    </row>
    <row r="387" spans="1:8" ht="15.6">
      <c r="A387" s="468" t="s">
        <v>815</v>
      </c>
      <c r="B387" s="67">
        <v>4</v>
      </c>
      <c r="C387" s="69" t="s">
        <v>17</v>
      </c>
      <c r="D387" s="71" t="s">
        <v>23</v>
      </c>
      <c r="E387" s="70">
        <v>41.452750000000002</v>
      </c>
      <c r="F387" s="74">
        <v>1.3628</v>
      </c>
      <c r="G387" s="70">
        <v>4.3495200000000001</v>
      </c>
      <c r="H387" s="74">
        <v>0.14299999999999999</v>
      </c>
    </row>
    <row r="388" spans="1:8" ht="15.6">
      <c r="A388" s="468" t="s">
        <v>816</v>
      </c>
      <c r="B388" s="67">
        <v>5</v>
      </c>
      <c r="C388" s="69" t="s">
        <v>17</v>
      </c>
      <c r="D388" s="71" t="s">
        <v>20</v>
      </c>
      <c r="E388" s="70">
        <v>45.68553</v>
      </c>
      <c r="F388" s="74">
        <v>1.502</v>
      </c>
      <c r="G388" s="70">
        <v>4.8251099999999996</v>
      </c>
      <c r="H388" s="74">
        <v>0.15859999999999999</v>
      </c>
    </row>
    <row r="389" spans="1:8" ht="15.6">
      <c r="A389" s="468" t="s">
        <v>817</v>
      </c>
      <c r="B389" s="67">
        <v>6</v>
      </c>
      <c r="C389" s="69" t="s">
        <v>17</v>
      </c>
      <c r="D389" s="71" t="s">
        <v>53</v>
      </c>
      <c r="E389" s="70">
        <v>31.835909999999998</v>
      </c>
      <c r="F389" s="74">
        <v>1.0467</v>
      </c>
      <c r="G389" s="70">
        <v>3.2690999999999999</v>
      </c>
      <c r="H389" s="74">
        <v>0.1075</v>
      </c>
    </row>
    <row r="390" spans="1:8" ht="15.6">
      <c r="A390" s="468" t="s">
        <v>818</v>
      </c>
      <c r="B390" s="67">
        <v>7</v>
      </c>
      <c r="C390" s="69" t="s">
        <v>17</v>
      </c>
      <c r="D390" s="71" t="s">
        <v>41</v>
      </c>
      <c r="E390" s="70">
        <v>31.770820000000001</v>
      </c>
      <c r="F390" s="74">
        <v>1.0445</v>
      </c>
      <c r="G390" s="70">
        <v>3.2617699999999998</v>
      </c>
      <c r="H390" s="74">
        <v>0.1072</v>
      </c>
    </row>
    <row r="391" spans="1:8" ht="15.6">
      <c r="A391" s="468" t="s">
        <v>819</v>
      </c>
      <c r="B391" s="67">
        <v>8</v>
      </c>
      <c r="C391" s="69" t="s">
        <v>17</v>
      </c>
      <c r="D391" s="71" t="s">
        <v>36</v>
      </c>
      <c r="E391" s="70">
        <v>37.315469999999998</v>
      </c>
      <c r="F391" s="74">
        <v>1.2267999999999999</v>
      </c>
      <c r="G391" s="70">
        <v>3.8847100000000001</v>
      </c>
      <c r="H391" s="74">
        <v>0.12770000000000001</v>
      </c>
    </row>
    <row r="392" spans="1:8" ht="15.6">
      <c r="A392" s="468" t="s">
        <v>820</v>
      </c>
      <c r="B392" s="67">
        <v>9</v>
      </c>
      <c r="C392" s="69" t="s">
        <v>17</v>
      </c>
      <c r="D392" s="71" t="s">
        <v>15</v>
      </c>
      <c r="E392" s="70">
        <v>42.622880000000002</v>
      </c>
      <c r="F392" s="74">
        <v>1.4013</v>
      </c>
      <c r="G392" s="70">
        <v>4.4810100000000004</v>
      </c>
      <c r="H392" s="74">
        <v>0.14729999999999999</v>
      </c>
    </row>
    <row r="393" spans="1:8" ht="15.6">
      <c r="A393" s="468" t="s">
        <v>821</v>
      </c>
      <c r="B393" s="67">
        <v>10</v>
      </c>
      <c r="C393" s="69" t="s">
        <v>17</v>
      </c>
      <c r="D393" s="71" t="s">
        <v>16</v>
      </c>
      <c r="E393" s="70">
        <v>49.076680000000003</v>
      </c>
      <c r="F393" s="74">
        <v>1.6134999999999999</v>
      </c>
      <c r="G393" s="70">
        <v>5.2060700000000004</v>
      </c>
      <c r="H393" s="74">
        <v>0.17119999999999999</v>
      </c>
    </row>
    <row r="394" spans="1:8" ht="15.6">
      <c r="A394" s="468" t="s">
        <v>822</v>
      </c>
      <c r="B394" s="67">
        <v>11</v>
      </c>
      <c r="C394" s="69" t="s">
        <v>17</v>
      </c>
      <c r="D394" s="71" t="s">
        <v>17</v>
      </c>
      <c r="E394" s="70">
        <v>2.82084</v>
      </c>
      <c r="F394" s="74">
        <v>9.2700000000000005E-2</v>
      </c>
      <c r="G394" s="70">
        <v>3.261E-2</v>
      </c>
      <c r="H394" s="74">
        <v>1.1000000000000001E-3</v>
      </c>
    </row>
    <row r="395" spans="1:8" ht="15.6">
      <c r="A395" s="468" t="s">
        <v>823</v>
      </c>
      <c r="B395" s="67">
        <v>12</v>
      </c>
      <c r="C395" s="69" t="s">
        <v>17</v>
      </c>
      <c r="D395" s="71" t="s">
        <v>10</v>
      </c>
      <c r="E395" s="70">
        <v>2.82084</v>
      </c>
      <c r="F395" s="74">
        <v>9.2700000000000005E-2</v>
      </c>
      <c r="G395" s="70">
        <v>3.261E-2</v>
      </c>
      <c r="H395" s="74">
        <v>1.1000000000000001E-3</v>
      </c>
    </row>
    <row r="396" spans="1:8" ht="15.6">
      <c r="A396" s="468" t="s">
        <v>824</v>
      </c>
      <c r="B396" s="67">
        <v>13</v>
      </c>
      <c r="C396" s="69" t="s">
        <v>17</v>
      </c>
      <c r="D396" s="71" t="s">
        <v>22</v>
      </c>
      <c r="E396" s="70">
        <v>42.020629999999997</v>
      </c>
      <c r="F396" s="74">
        <v>1.3815</v>
      </c>
      <c r="G396" s="70">
        <v>4.4133500000000003</v>
      </c>
      <c r="H396" s="74">
        <v>0.14510000000000001</v>
      </c>
    </row>
    <row r="397" spans="1:8" ht="15.6">
      <c r="A397" s="468" t="s">
        <v>825</v>
      </c>
      <c r="B397" s="67">
        <v>14</v>
      </c>
      <c r="C397" s="69" t="s">
        <v>17</v>
      </c>
      <c r="D397" s="71" t="s">
        <v>35</v>
      </c>
      <c r="E397" s="70">
        <v>35.254130000000004</v>
      </c>
      <c r="F397" s="74">
        <v>1.159</v>
      </c>
      <c r="G397" s="70">
        <v>3.6531400000000001</v>
      </c>
      <c r="H397" s="74">
        <v>0.1201</v>
      </c>
    </row>
    <row r="398" spans="1:8" ht="15.6">
      <c r="A398" s="468" t="s">
        <v>826</v>
      </c>
      <c r="B398" s="67">
        <v>15</v>
      </c>
      <c r="C398" s="69" t="s">
        <v>17</v>
      </c>
      <c r="D398" s="71" t="s">
        <v>24</v>
      </c>
      <c r="E398" s="70">
        <v>45.406300000000002</v>
      </c>
      <c r="F398" s="74">
        <v>1.4927999999999999</v>
      </c>
      <c r="G398" s="70">
        <v>4.7937399999999997</v>
      </c>
      <c r="H398" s="74">
        <v>0.15759999999999999</v>
      </c>
    </row>
    <row r="399" spans="1:8" ht="15.6">
      <c r="A399" s="468" t="s">
        <v>827</v>
      </c>
      <c r="B399" s="67">
        <v>16</v>
      </c>
      <c r="C399" s="69" t="s">
        <v>17</v>
      </c>
      <c r="D399" s="71" t="s">
        <v>37</v>
      </c>
      <c r="E399" s="70">
        <v>37.271979999999999</v>
      </c>
      <c r="F399" s="74">
        <v>1.2254</v>
      </c>
      <c r="G399" s="70">
        <v>3.8798499999999998</v>
      </c>
      <c r="H399" s="74">
        <v>0.12759999999999999</v>
      </c>
    </row>
    <row r="400" spans="1:8" ht="15.6">
      <c r="A400" s="468" t="s">
        <v>828</v>
      </c>
      <c r="B400" s="67">
        <v>17</v>
      </c>
      <c r="C400" s="69" t="s">
        <v>17</v>
      </c>
      <c r="D400" s="71" t="s">
        <v>38</v>
      </c>
      <c r="E400" s="70">
        <v>31.8642</v>
      </c>
      <c r="F400" s="74">
        <v>1.0476000000000001</v>
      </c>
      <c r="G400" s="70">
        <v>3.53634</v>
      </c>
      <c r="H400" s="74">
        <v>0.1163</v>
      </c>
    </row>
    <row r="401" spans="1:8" ht="15.6">
      <c r="A401" s="468" t="s">
        <v>829</v>
      </c>
      <c r="B401" s="67">
        <v>18</v>
      </c>
      <c r="C401" s="69" t="s">
        <v>17</v>
      </c>
      <c r="D401" s="71" t="s">
        <v>26</v>
      </c>
      <c r="E401" s="70">
        <v>45.722639999999998</v>
      </c>
      <c r="F401" s="74">
        <v>1.5032000000000001</v>
      </c>
      <c r="G401" s="70">
        <v>4.8292799999999998</v>
      </c>
      <c r="H401" s="74">
        <v>0.1588</v>
      </c>
    </row>
    <row r="402" spans="1:8" ht="15.6">
      <c r="A402" s="468" t="s">
        <v>830</v>
      </c>
      <c r="B402" s="67">
        <v>19</v>
      </c>
      <c r="C402" s="69" t="s">
        <v>17</v>
      </c>
      <c r="D402" s="71" t="s">
        <v>52</v>
      </c>
      <c r="E402" s="70">
        <v>5.2152399999999997</v>
      </c>
      <c r="F402" s="74">
        <v>0.17150000000000001</v>
      </c>
      <c r="G402" s="70">
        <v>0.32146999999999998</v>
      </c>
      <c r="H402" s="74">
        <v>1.06E-2</v>
      </c>
    </row>
    <row r="403" spans="1:8" ht="15.6">
      <c r="A403" s="468" t="s">
        <v>831</v>
      </c>
      <c r="B403" s="67">
        <v>20</v>
      </c>
      <c r="C403" s="69" t="s">
        <v>17</v>
      </c>
      <c r="D403" s="71" t="s">
        <v>40</v>
      </c>
      <c r="E403" s="70">
        <v>29.246839999999999</v>
      </c>
      <c r="F403" s="74">
        <v>0.96150000000000002</v>
      </c>
      <c r="G403" s="70">
        <v>3.2205900000000001</v>
      </c>
      <c r="H403" s="74">
        <v>0.10589999999999999</v>
      </c>
    </row>
    <row r="404" spans="1:8" ht="15.6">
      <c r="A404" s="468" t="s">
        <v>832</v>
      </c>
      <c r="B404" s="67">
        <v>21</v>
      </c>
      <c r="C404" s="69" t="s">
        <v>17</v>
      </c>
      <c r="D404" s="71" t="s">
        <v>34</v>
      </c>
      <c r="E404" s="70">
        <v>9.7680100000000003</v>
      </c>
      <c r="F404" s="74">
        <v>0.3211</v>
      </c>
      <c r="G404" s="70">
        <v>0.87072000000000005</v>
      </c>
      <c r="H404" s="74">
        <v>2.86E-2</v>
      </c>
    </row>
    <row r="405" spans="1:8" ht="15.6">
      <c r="A405" s="468" t="s">
        <v>833</v>
      </c>
      <c r="B405" s="67">
        <v>22</v>
      </c>
      <c r="C405" s="69" t="s">
        <v>17</v>
      </c>
      <c r="D405" s="71" t="s">
        <v>54</v>
      </c>
      <c r="E405" s="70">
        <v>31.835909999999998</v>
      </c>
      <c r="F405" s="74">
        <v>1.0467</v>
      </c>
      <c r="G405" s="70">
        <v>3.2690999999999999</v>
      </c>
      <c r="H405" s="74">
        <v>0.1075</v>
      </c>
    </row>
    <row r="406" spans="1:8" ht="15.6">
      <c r="A406" s="468" t="s">
        <v>834</v>
      </c>
      <c r="B406" s="67">
        <v>23</v>
      </c>
      <c r="C406" s="69" t="s">
        <v>10</v>
      </c>
      <c r="D406" s="71" t="s">
        <v>12</v>
      </c>
      <c r="E406" s="70">
        <v>20.086860000000001</v>
      </c>
      <c r="F406" s="74">
        <v>0.66039999999999999</v>
      </c>
      <c r="G406" s="70">
        <v>2.11557</v>
      </c>
      <c r="H406" s="74">
        <v>6.9599999999999995E-2</v>
      </c>
    </row>
    <row r="407" spans="1:8" ht="15.6">
      <c r="A407" s="468" t="s">
        <v>835</v>
      </c>
      <c r="B407" s="67">
        <v>24</v>
      </c>
      <c r="C407" s="69" t="s">
        <v>10</v>
      </c>
      <c r="D407" s="71" t="s">
        <v>51</v>
      </c>
      <c r="E407" s="70">
        <v>12.76709</v>
      </c>
      <c r="F407" s="74">
        <v>0.41970000000000002</v>
      </c>
      <c r="G407" s="70">
        <v>1.2325299999999999</v>
      </c>
      <c r="H407" s="74">
        <v>4.0500000000000001E-2</v>
      </c>
    </row>
    <row r="408" spans="1:8" ht="15.6">
      <c r="A408" s="468" t="s">
        <v>836</v>
      </c>
      <c r="B408" s="67">
        <v>25</v>
      </c>
      <c r="C408" s="69" t="s">
        <v>10</v>
      </c>
      <c r="D408" s="71" t="s">
        <v>13</v>
      </c>
      <c r="E408" s="70">
        <v>9.7680100000000003</v>
      </c>
      <c r="F408" s="74">
        <v>0.3211</v>
      </c>
      <c r="G408" s="70">
        <v>0.87072000000000005</v>
      </c>
      <c r="H408" s="74">
        <v>2.86E-2</v>
      </c>
    </row>
    <row r="409" spans="1:8" ht="15.6">
      <c r="A409" s="468" t="s">
        <v>837</v>
      </c>
      <c r="B409" s="67">
        <v>26</v>
      </c>
      <c r="C409" s="69" t="s">
        <v>10</v>
      </c>
      <c r="D409" s="71" t="s">
        <v>9</v>
      </c>
      <c r="E409" s="70">
        <v>5.2319699999999996</v>
      </c>
      <c r="F409" s="74">
        <v>0.17199999999999999</v>
      </c>
      <c r="G409" s="70">
        <v>0.32346000000000003</v>
      </c>
      <c r="H409" s="74">
        <v>1.06E-2</v>
      </c>
    </row>
    <row r="410" spans="1:8" ht="15.6">
      <c r="A410" s="468" t="s">
        <v>838</v>
      </c>
      <c r="B410" s="67">
        <v>27</v>
      </c>
      <c r="C410" s="69" t="s">
        <v>10</v>
      </c>
      <c r="D410" s="71" t="s">
        <v>14</v>
      </c>
      <c r="E410" s="70">
        <v>5.2152399999999997</v>
      </c>
      <c r="F410" s="74">
        <v>0.17150000000000001</v>
      </c>
      <c r="G410" s="70">
        <v>0.32146999999999998</v>
      </c>
      <c r="H410" s="74">
        <v>1.06E-2</v>
      </c>
    </row>
    <row r="411" spans="1:8" ht="15.6">
      <c r="A411" s="468" t="s">
        <v>839</v>
      </c>
      <c r="B411" s="67">
        <v>28</v>
      </c>
      <c r="C411" s="69" t="s">
        <v>10</v>
      </c>
      <c r="D411" s="71" t="s">
        <v>33</v>
      </c>
      <c r="E411" s="70">
        <v>13.73495</v>
      </c>
      <c r="F411" s="74">
        <v>0.4516</v>
      </c>
      <c r="G411" s="70">
        <v>1.34927</v>
      </c>
      <c r="H411" s="74">
        <v>4.4400000000000002E-2</v>
      </c>
    </row>
    <row r="412" spans="1:8" ht="15.6">
      <c r="A412" s="468" t="s">
        <v>840</v>
      </c>
      <c r="B412" s="67">
        <v>29</v>
      </c>
      <c r="C412" s="69" t="s">
        <v>10</v>
      </c>
      <c r="D412" s="71" t="s">
        <v>25</v>
      </c>
      <c r="E412" s="70">
        <v>16.243110000000001</v>
      </c>
      <c r="F412" s="74">
        <v>0.53400000000000003</v>
      </c>
      <c r="G412" s="70">
        <v>1.65188</v>
      </c>
      <c r="H412" s="74">
        <v>5.4300000000000001E-2</v>
      </c>
    </row>
    <row r="413" spans="1:8" ht="15.6">
      <c r="A413" s="468" t="s">
        <v>841</v>
      </c>
      <c r="B413" s="67">
        <v>30</v>
      </c>
      <c r="C413" s="69" t="s">
        <v>10</v>
      </c>
      <c r="D413" s="71" t="s">
        <v>31</v>
      </c>
      <c r="E413" s="70">
        <v>28.937809999999999</v>
      </c>
      <c r="F413" s="74">
        <v>0.95140000000000002</v>
      </c>
      <c r="G413" s="70">
        <v>3.1833</v>
      </c>
      <c r="H413" s="74">
        <v>0.1047</v>
      </c>
    </row>
    <row r="414" spans="1:8" ht="15.6">
      <c r="A414" s="468" t="s">
        <v>842</v>
      </c>
      <c r="B414" s="67">
        <v>31</v>
      </c>
      <c r="C414" s="69" t="s">
        <v>10</v>
      </c>
      <c r="D414" s="71" t="s">
        <v>45</v>
      </c>
      <c r="E414" s="70">
        <v>21.82396</v>
      </c>
      <c r="F414" s="74">
        <v>0.71750000000000003</v>
      </c>
      <c r="G414" s="70">
        <v>2.3250999999999999</v>
      </c>
      <c r="H414" s="74">
        <v>7.6399999999999996E-2</v>
      </c>
    </row>
    <row r="415" spans="1:8" ht="15.6">
      <c r="A415" s="468" t="s">
        <v>843</v>
      </c>
      <c r="B415" s="67">
        <v>32</v>
      </c>
      <c r="C415" s="69" t="s">
        <v>10</v>
      </c>
      <c r="D415" s="71" t="s">
        <v>27</v>
      </c>
      <c r="E415" s="70">
        <v>26.217649999999999</v>
      </c>
      <c r="F415" s="74">
        <v>0.86199999999999999</v>
      </c>
      <c r="G415" s="70">
        <v>2.8551600000000001</v>
      </c>
      <c r="H415" s="74">
        <v>9.3899999999999997E-2</v>
      </c>
    </row>
    <row r="416" spans="1:8" ht="15.6">
      <c r="A416" s="468" t="s">
        <v>844</v>
      </c>
      <c r="B416" s="67">
        <v>33</v>
      </c>
      <c r="C416" s="69" t="s">
        <v>10</v>
      </c>
      <c r="D416" s="71" t="s">
        <v>21</v>
      </c>
      <c r="E416" s="70">
        <v>29.833580000000001</v>
      </c>
      <c r="F416" s="74">
        <v>0.98080000000000001</v>
      </c>
      <c r="G416" s="70">
        <v>3.2913700000000001</v>
      </c>
      <c r="H416" s="74">
        <v>0.1082</v>
      </c>
    </row>
    <row r="417" spans="1:8" ht="15.6">
      <c r="A417" s="468" t="s">
        <v>845</v>
      </c>
      <c r="B417" s="67">
        <v>34</v>
      </c>
      <c r="C417" s="69" t="s">
        <v>10</v>
      </c>
      <c r="D417" s="71" t="s">
        <v>32</v>
      </c>
      <c r="E417" s="70">
        <v>22.14668</v>
      </c>
      <c r="F417" s="74">
        <v>0.72809999999999997</v>
      </c>
      <c r="G417" s="70">
        <v>2.36402</v>
      </c>
      <c r="H417" s="74">
        <v>7.7700000000000005E-2</v>
      </c>
    </row>
    <row r="418" spans="1:8" ht="15.6">
      <c r="A418" s="468" t="s">
        <v>846</v>
      </c>
      <c r="B418" s="67">
        <v>35</v>
      </c>
      <c r="C418" s="69" t="s">
        <v>10</v>
      </c>
      <c r="D418" s="71" t="s">
        <v>30</v>
      </c>
      <c r="E418" s="70">
        <v>37.389989999999997</v>
      </c>
      <c r="F418" s="74">
        <v>1.2293000000000001</v>
      </c>
      <c r="G418" s="70">
        <v>3.8931</v>
      </c>
      <c r="H418" s="74">
        <v>0.128</v>
      </c>
    </row>
    <row r="419" spans="1:8" ht="15.6">
      <c r="A419" s="468" t="s">
        <v>847</v>
      </c>
      <c r="B419" s="67">
        <v>36</v>
      </c>
      <c r="C419" s="69" t="s">
        <v>10</v>
      </c>
      <c r="D419" s="71" t="s">
        <v>28</v>
      </c>
      <c r="E419" s="70">
        <v>35.848779999999998</v>
      </c>
      <c r="F419" s="74">
        <v>1.1786000000000001</v>
      </c>
      <c r="G419" s="70">
        <v>3.7199399999999998</v>
      </c>
      <c r="H419" s="74">
        <v>0.12230000000000001</v>
      </c>
    </row>
    <row r="420" spans="1:8" ht="15.6">
      <c r="A420" s="468" t="s">
        <v>848</v>
      </c>
      <c r="B420" s="67">
        <v>37</v>
      </c>
      <c r="C420" s="69" t="s">
        <v>10</v>
      </c>
      <c r="D420" s="71" t="s">
        <v>79</v>
      </c>
      <c r="E420" s="70">
        <v>36.154769999999999</v>
      </c>
      <c r="F420" s="74">
        <v>1.1887000000000001</v>
      </c>
      <c r="G420" s="70">
        <v>3.75434</v>
      </c>
      <c r="H420" s="74">
        <v>0.1234</v>
      </c>
    </row>
    <row r="421" spans="1:8" ht="15.6">
      <c r="A421" s="468" t="s">
        <v>849</v>
      </c>
      <c r="B421" s="67">
        <v>38</v>
      </c>
      <c r="C421" s="69" t="s">
        <v>10</v>
      </c>
      <c r="D421" s="71" t="s">
        <v>29</v>
      </c>
      <c r="E421" s="70">
        <v>41.259900000000002</v>
      </c>
      <c r="F421" s="74">
        <v>1.3565</v>
      </c>
      <c r="G421" s="70">
        <v>4.3278800000000004</v>
      </c>
      <c r="H421" s="74">
        <v>0.14230000000000001</v>
      </c>
    </row>
    <row r="422" spans="1:8" ht="15.6">
      <c r="A422" s="468" t="s">
        <v>850</v>
      </c>
      <c r="B422" s="67">
        <v>39</v>
      </c>
      <c r="C422" s="69" t="s">
        <v>10</v>
      </c>
      <c r="D422" s="71" t="s">
        <v>43</v>
      </c>
      <c r="E422" s="70">
        <v>35.946420000000003</v>
      </c>
      <c r="F422" s="74">
        <v>1.1818</v>
      </c>
      <c r="G422" s="70">
        <v>3.7309100000000002</v>
      </c>
      <c r="H422" s="74">
        <v>0.1227</v>
      </c>
    </row>
    <row r="423" spans="1:8" ht="15.6">
      <c r="A423" s="468" t="s">
        <v>851</v>
      </c>
      <c r="B423" s="67">
        <v>40</v>
      </c>
      <c r="C423" s="69" t="s">
        <v>10</v>
      </c>
      <c r="D423" s="71" t="s">
        <v>18</v>
      </c>
      <c r="E423" s="70">
        <v>37.263460000000002</v>
      </c>
      <c r="F423" s="74">
        <v>1.2251000000000001</v>
      </c>
      <c r="G423" s="70">
        <v>3.8788900000000002</v>
      </c>
      <c r="H423" s="74">
        <v>0.1275</v>
      </c>
    </row>
    <row r="424" spans="1:8" ht="15.6">
      <c r="A424" s="468" t="s">
        <v>852</v>
      </c>
      <c r="B424" s="67">
        <v>41</v>
      </c>
      <c r="C424" s="69" t="s">
        <v>10</v>
      </c>
      <c r="D424" s="71" t="s">
        <v>76</v>
      </c>
      <c r="E424" s="70">
        <v>35.946420000000003</v>
      </c>
      <c r="F424" s="74">
        <v>1.1818</v>
      </c>
      <c r="G424" s="70">
        <v>3.7309100000000002</v>
      </c>
      <c r="H424" s="74">
        <v>0.1227</v>
      </c>
    </row>
    <row r="425" spans="1:8" ht="15.6">
      <c r="A425" s="468" t="s">
        <v>853</v>
      </c>
      <c r="B425" s="67">
        <v>42</v>
      </c>
      <c r="C425" s="69" t="s">
        <v>10</v>
      </c>
      <c r="D425" s="71" t="s">
        <v>19</v>
      </c>
      <c r="E425" s="70">
        <v>41.367579999999997</v>
      </c>
      <c r="F425" s="74">
        <v>1.36</v>
      </c>
      <c r="G425" s="70">
        <v>4.3399900000000002</v>
      </c>
      <c r="H425" s="74">
        <v>0.14269999999999999</v>
      </c>
    </row>
    <row r="426" spans="1:8" ht="15.6">
      <c r="A426" s="468" t="s">
        <v>854</v>
      </c>
      <c r="B426" s="67">
        <v>43</v>
      </c>
      <c r="C426" s="69" t="s">
        <v>10</v>
      </c>
      <c r="D426" s="71" t="s">
        <v>23</v>
      </c>
      <c r="E426" s="70">
        <v>41.452750000000002</v>
      </c>
      <c r="F426" s="74">
        <v>1.3628</v>
      </c>
      <c r="G426" s="70">
        <v>4.3495200000000001</v>
      </c>
      <c r="H426" s="74">
        <v>0.14299999999999999</v>
      </c>
    </row>
    <row r="427" spans="1:8" ht="15.6">
      <c r="A427" s="468" t="s">
        <v>855</v>
      </c>
      <c r="B427" s="67">
        <v>44</v>
      </c>
      <c r="C427" s="69" t="s">
        <v>10</v>
      </c>
      <c r="D427" s="71" t="s">
        <v>20</v>
      </c>
      <c r="E427" s="70">
        <v>45.68553</v>
      </c>
      <c r="F427" s="74">
        <v>1.502</v>
      </c>
      <c r="G427" s="70">
        <v>4.8251099999999996</v>
      </c>
      <c r="H427" s="74">
        <v>0.15859999999999999</v>
      </c>
    </row>
    <row r="428" spans="1:8" ht="15.6">
      <c r="A428" s="468" t="s">
        <v>856</v>
      </c>
      <c r="B428" s="67">
        <v>45</v>
      </c>
      <c r="C428" s="69" t="s">
        <v>10</v>
      </c>
      <c r="D428" s="71" t="s">
        <v>53</v>
      </c>
      <c r="E428" s="70">
        <v>31.835909999999998</v>
      </c>
      <c r="F428" s="74">
        <v>1.0467</v>
      </c>
      <c r="G428" s="70">
        <v>3.2690999999999999</v>
      </c>
      <c r="H428" s="74">
        <v>0.1075</v>
      </c>
    </row>
    <row r="429" spans="1:8" ht="15.6">
      <c r="A429" s="468" t="s">
        <v>857</v>
      </c>
      <c r="B429" s="67">
        <v>46</v>
      </c>
      <c r="C429" s="69" t="s">
        <v>10</v>
      </c>
      <c r="D429" s="71" t="s">
        <v>41</v>
      </c>
      <c r="E429" s="70">
        <v>31.770820000000001</v>
      </c>
      <c r="F429" s="74">
        <v>1.0445</v>
      </c>
      <c r="G429" s="70">
        <v>3.2617699999999998</v>
      </c>
      <c r="H429" s="74">
        <v>0.1072</v>
      </c>
    </row>
    <row r="430" spans="1:8" ht="15.6">
      <c r="A430" s="468" t="s">
        <v>858</v>
      </c>
      <c r="B430" s="67">
        <v>47</v>
      </c>
      <c r="C430" s="69" t="s">
        <v>10</v>
      </c>
      <c r="D430" s="71" t="s">
        <v>36</v>
      </c>
      <c r="E430" s="70">
        <v>37.315469999999998</v>
      </c>
      <c r="F430" s="74">
        <v>1.2267999999999999</v>
      </c>
      <c r="G430" s="70">
        <v>3.8847100000000001</v>
      </c>
      <c r="H430" s="74">
        <v>0.12770000000000001</v>
      </c>
    </row>
    <row r="431" spans="1:8" ht="15.6">
      <c r="A431" s="468" t="s">
        <v>859</v>
      </c>
      <c r="B431" s="67">
        <v>48</v>
      </c>
      <c r="C431" s="69" t="s">
        <v>10</v>
      </c>
      <c r="D431" s="71" t="s">
        <v>15</v>
      </c>
      <c r="E431" s="70">
        <v>42.622880000000002</v>
      </c>
      <c r="F431" s="74">
        <v>1.4013</v>
      </c>
      <c r="G431" s="70">
        <v>4.4810100000000004</v>
      </c>
      <c r="H431" s="74">
        <v>0.14729999999999999</v>
      </c>
    </row>
    <row r="432" spans="1:8" ht="15.6">
      <c r="A432" s="468" t="s">
        <v>860</v>
      </c>
      <c r="B432" s="67">
        <v>49</v>
      </c>
      <c r="C432" s="69" t="s">
        <v>10</v>
      </c>
      <c r="D432" s="71" t="s">
        <v>16</v>
      </c>
      <c r="E432" s="70">
        <v>49.076680000000003</v>
      </c>
      <c r="F432" s="74">
        <v>1.6134999999999999</v>
      </c>
      <c r="G432" s="70">
        <v>5.2060700000000004</v>
      </c>
      <c r="H432" s="74">
        <v>0.17119999999999999</v>
      </c>
    </row>
    <row r="433" spans="1:8" ht="15.6">
      <c r="A433" s="468" t="s">
        <v>861</v>
      </c>
      <c r="B433" s="67">
        <v>50</v>
      </c>
      <c r="C433" s="69" t="s">
        <v>10</v>
      </c>
      <c r="D433" s="71" t="s">
        <v>17</v>
      </c>
      <c r="E433" s="70">
        <v>2.82084</v>
      </c>
      <c r="F433" s="74">
        <v>9.2700000000000005E-2</v>
      </c>
      <c r="G433" s="70">
        <v>3.261E-2</v>
      </c>
      <c r="H433" s="74">
        <v>1.1000000000000001E-3</v>
      </c>
    </row>
    <row r="434" spans="1:8" ht="15.6">
      <c r="A434" s="468" t="s">
        <v>862</v>
      </c>
      <c r="B434" s="67">
        <v>51</v>
      </c>
      <c r="C434" s="69" t="s">
        <v>10</v>
      </c>
      <c r="D434" s="71" t="s">
        <v>10</v>
      </c>
      <c r="E434" s="70">
        <v>2.82084</v>
      </c>
      <c r="F434" s="74">
        <v>9.2700000000000005E-2</v>
      </c>
      <c r="G434" s="70">
        <v>3.261E-2</v>
      </c>
      <c r="H434" s="74">
        <v>1.1000000000000001E-3</v>
      </c>
    </row>
    <row r="435" spans="1:8" ht="15.6">
      <c r="A435" s="468" t="s">
        <v>863</v>
      </c>
      <c r="B435" s="67">
        <v>52</v>
      </c>
      <c r="C435" s="69" t="s">
        <v>10</v>
      </c>
      <c r="D435" s="71" t="s">
        <v>22</v>
      </c>
      <c r="E435" s="70">
        <v>42.020629999999997</v>
      </c>
      <c r="F435" s="74">
        <v>1.3815</v>
      </c>
      <c r="G435" s="70">
        <v>4.4133500000000003</v>
      </c>
      <c r="H435" s="74">
        <v>0.14510000000000001</v>
      </c>
    </row>
    <row r="436" spans="1:8" ht="15.6">
      <c r="A436" s="468" t="s">
        <v>864</v>
      </c>
      <c r="B436" s="67">
        <v>53</v>
      </c>
      <c r="C436" s="69" t="s">
        <v>10</v>
      </c>
      <c r="D436" s="71" t="s">
        <v>35</v>
      </c>
      <c r="E436" s="70">
        <v>35.254130000000004</v>
      </c>
      <c r="F436" s="74">
        <v>1.159</v>
      </c>
      <c r="G436" s="70">
        <v>3.6531400000000001</v>
      </c>
      <c r="H436" s="74">
        <v>0.1201</v>
      </c>
    </row>
    <row r="437" spans="1:8" ht="15.6">
      <c r="A437" s="468" t="s">
        <v>865</v>
      </c>
      <c r="B437" s="67">
        <v>54</v>
      </c>
      <c r="C437" s="69" t="s">
        <v>10</v>
      </c>
      <c r="D437" s="71" t="s">
        <v>24</v>
      </c>
      <c r="E437" s="70">
        <v>45.406300000000002</v>
      </c>
      <c r="F437" s="74">
        <v>1.4927999999999999</v>
      </c>
      <c r="G437" s="70">
        <v>4.7937399999999997</v>
      </c>
      <c r="H437" s="74">
        <v>0.15759999999999999</v>
      </c>
    </row>
    <row r="438" spans="1:8" ht="15.6">
      <c r="A438" s="468" t="s">
        <v>866</v>
      </c>
      <c r="B438" s="67">
        <v>55</v>
      </c>
      <c r="C438" s="69" t="s">
        <v>10</v>
      </c>
      <c r="D438" s="71" t="s">
        <v>37</v>
      </c>
      <c r="E438" s="70">
        <v>37.271979999999999</v>
      </c>
      <c r="F438" s="74">
        <v>1.2254</v>
      </c>
      <c r="G438" s="70">
        <v>3.8798499999999998</v>
      </c>
      <c r="H438" s="74">
        <v>0.12759999999999999</v>
      </c>
    </row>
    <row r="439" spans="1:8" ht="15.6">
      <c r="A439" s="468" t="s">
        <v>867</v>
      </c>
      <c r="B439" s="67">
        <v>56</v>
      </c>
      <c r="C439" s="69" t="s">
        <v>10</v>
      </c>
      <c r="D439" s="71" t="s">
        <v>38</v>
      </c>
      <c r="E439" s="70">
        <v>31.8642</v>
      </c>
      <c r="F439" s="74">
        <v>1.0476000000000001</v>
      </c>
      <c r="G439" s="70">
        <v>3.53634</v>
      </c>
      <c r="H439" s="74">
        <v>0.1163</v>
      </c>
    </row>
    <row r="440" spans="1:8" ht="15.6">
      <c r="A440" s="468" t="s">
        <v>868</v>
      </c>
      <c r="B440" s="67">
        <v>57</v>
      </c>
      <c r="C440" s="69" t="s">
        <v>10</v>
      </c>
      <c r="D440" s="71" t="s">
        <v>26</v>
      </c>
      <c r="E440" s="70">
        <v>45.722639999999998</v>
      </c>
      <c r="F440" s="74">
        <v>1.5032000000000001</v>
      </c>
      <c r="G440" s="70">
        <v>4.8292799999999998</v>
      </c>
      <c r="H440" s="74">
        <v>0.1588</v>
      </c>
    </row>
    <row r="441" spans="1:8" ht="15.6">
      <c r="A441" s="468" t="s">
        <v>869</v>
      </c>
      <c r="B441" s="67">
        <v>58</v>
      </c>
      <c r="C441" s="69" t="s">
        <v>10</v>
      </c>
      <c r="D441" s="71" t="s">
        <v>52</v>
      </c>
      <c r="E441" s="70">
        <v>5.2152399999999997</v>
      </c>
      <c r="F441" s="74">
        <v>0.17150000000000001</v>
      </c>
      <c r="G441" s="70">
        <v>0.32146999999999998</v>
      </c>
      <c r="H441" s="74">
        <v>1.06E-2</v>
      </c>
    </row>
    <row r="442" spans="1:8" ht="15.6">
      <c r="A442" s="468" t="s">
        <v>870</v>
      </c>
      <c r="B442" s="67">
        <v>59</v>
      </c>
      <c r="C442" s="69" t="s">
        <v>10</v>
      </c>
      <c r="D442" s="71" t="s">
        <v>40</v>
      </c>
      <c r="E442" s="70">
        <v>29.246839999999999</v>
      </c>
      <c r="F442" s="74">
        <v>0.96150000000000002</v>
      </c>
      <c r="G442" s="70">
        <v>3.2205900000000001</v>
      </c>
      <c r="H442" s="74">
        <v>0.10589999999999999</v>
      </c>
    </row>
    <row r="443" spans="1:8" ht="15.6">
      <c r="A443" s="468" t="s">
        <v>871</v>
      </c>
      <c r="B443" s="67">
        <v>60</v>
      </c>
      <c r="C443" s="69" t="s">
        <v>10</v>
      </c>
      <c r="D443" s="71" t="s">
        <v>34</v>
      </c>
      <c r="E443" s="70">
        <v>9.7680100000000003</v>
      </c>
      <c r="F443" s="74">
        <v>0.3211</v>
      </c>
      <c r="G443" s="70">
        <v>0.87072000000000005</v>
      </c>
      <c r="H443" s="74">
        <v>2.86E-2</v>
      </c>
    </row>
    <row r="444" spans="1:8" ht="15.6">
      <c r="A444" s="468" t="s">
        <v>872</v>
      </c>
      <c r="B444" s="67">
        <v>61</v>
      </c>
      <c r="C444" s="69" t="s">
        <v>10</v>
      </c>
      <c r="D444" s="71" t="s">
        <v>54</v>
      </c>
      <c r="E444" s="70">
        <v>31.835909999999998</v>
      </c>
      <c r="F444" s="74">
        <v>1.0467</v>
      </c>
      <c r="G444" s="70">
        <v>3.2690999999999999</v>
      </c>
      <c r="H444" s="74">
        <v>0.1075</v>
      </c>
    </row>
    <row r="445" spans="1:8" ht="15.6">
      <c r="A445" s="468" t="s">
        <v>873</v>
      </c>
      <c r="B445" s="67">
        <v>62</v>
      </c>
      <c r="C445" s="69" t="s">
        <v>76</v>
      </c>
      <c r="D445" s="71" t="s">
        <v>12</v>
      </c>
      <c r="E445" s="70" t="s">
        <v>286</v>
      </c>
      <c r="F445" s="74">
        <v>2.3906000000000001</v>
      </c>
      <c r="G445" s="70" t="s">
        <v>286</v>
      </c>
      <c r="H445" s="74">
        <v>0.19109999999999999</v>
      </c>
    </row>
    <row r="446" spans="1:8" ht="15.6">
      <c r="A446" s="468" t="s">
        <v>874</v>
      </c>
      <c r="B446" s="67">
        <v>63</v>
      </c>
      <c r="C446" s="69" t="s">
        <v>76</v>
      </c>
      <c r="D446" s="71" t="s">
        <v>51</v>
      </c>
      <c r="E446" s="70" t="s">
        <v>286</v>
      </c>
      <c r="F446" s="74">
        <v>2.0457999999999998</v>
      </c>
      <c r="G446" s="70" t="s">
        <v>286</v>
      </c>
      <c r="H446" s="74">
        <v>0.16209999999999999</v>
      </c>
    </row>
    <row r="447" spans="1:8" ht="15.6">
      <c r="A447" s="468" t="s">
        <v>875</v>
      </c>
      <c r="B447" s="67">
        <v>64</v>
      </c>
      <c r="C447" s="69" t="s">
        <v>76</v>
      </c>
      <c r="D447" s="71" t="s">
        <v>13</v>
      </c>
      <c r="E447" s="70" t="s">
        <v>286</v>
      </c>
      <c r="F447" s="74">
        <v>1.9045000000000001</v>
      </c>
      <c r="G447" s="70" t="s">
        <v>286</v>
      </c>
      <c r="H447" s="74">
        <v>0.1502</v>
      </c>
    </row>
    <row r="448" spans="1:8" ht="15.6">
      <c r="A448" s="468" t="s">
        <v>876</v>
      </c>
      <c r="B448" s="67">
        <v>65</v>
      </c>
      <c r="C448" s="69" t="s">
        <v>76</v>
      </c>
      <c r="D448" s="71" t="s">
        <v>9</v>
      </c>
      <c r="E448" s="70" t="s">
        <v>286</v>
      </c>
      <c r="F448" s="74">
        <v>1.6908000000000001</v>
      </c>
      <c r="G448" s="70" t="s">
        <v>286</v>
      </c>
      <c r="H448" s="74">
        <v>0.13220000000000001</v>
      </c>
    </row>
    <row r="449" spans="1:8" ht="15.6">
      <c r="A449" s="468" t="s">
        <v>877</v>
      </c>
      <c r="B449" s="67">
        <v>66</v>
      </c>
      <c r="C449" s="69" t="s">
        <v>76</v>
      </c>
      <c r="D449" s="71" t="s">
        <v>14</v>
      </c>
      <c r="E449" s="70" t="s">
        <v>286</v>
      </c>
      <c r="F449" s="74">
        <v>1.6740999999999999</v>
      </c>
      <c r="G449" s="70" t="s">
        <v>286</v>
      </c>
      <c r="H449" s="74">
        <v>0.1308</v>
      </c>
    </row>
    <row r="450" spans="1:8" ht="15.6">
      <c r="A450" s="468" t="s">
        <v>878</v>
      </c>
      <c r="B450" s="67">
        <v>67</v>
      </c>
      <c r="C450" s="69" t="s">
        <v>76</v>
      </c>
      <c r="D450" s="71" t="s">
        <v>33</v>
      </c>
      <c r="E450" s="70" t="s">
        <v>286</v>
      </c>
      <c r="F450" s="74">
        <v>1.3058000000000001</v>
      </c>
      <c r="G450" s="70" t="s">
        <v>286</v>
      </c>
      <c r="H450" s="74">
        <v>9.98E-2</v>
      </c>
    </row>
    <row r="451" spans="1:8" ht="15.6">
      <c r="A451" s="468" t="s">
        <v>879</v>
      </c>
      <c r="B451" s="67">
        <v>68</v>
      </c>
      <c r="C451" s="69" t="s">
        <v>76</v>
      </c>
      <c r="D451" s="71" t="s">
        <v>25</v>
      </c>
      <c r="E451" s="70" t="s">
        <v>286</v>
      </c>
      <c r="F451" s="74">
        <v>1.1546000000000001</v>
      </c>
      <c r="G451" s="70" t="s">
        <v>286</v>
      </c>
      <c r="H451" s="74">
        <v>8.7099999999999997E-2</v>
      </c>
    </row>
    <row r="452" spans="1:8" ht="15.6">
      <c r="A452" s="468" t="s">
        <v>880</v>
      </c>
      <c r="B452" s="67">
        <v>69</v>
      </c>
      <c r="C452" s="69" t="s">
        <v>76</v>
      </c>
      <c r="D452" s="71" t="s">
        <v>31</v>
      </c>
      <c r="E452" s="70" t="s">
        <v>286</v>
      </c>
      <c r="F452" s="74">
        <v>0.55649999999999999</v>
      </c>
      <c r="G452" s="70" t="s">
        <v>286</v>
      </c>
      <c r="H452" s="74">
        <v>3.6700000000000003E-2</v>
      </c>
    </row>
    <row r="453" spans="1:8" ht="15.6">
      <c r="A453" s="468" t="s">
        <v>881</v>
      </c>
      <c r="B453" s="67">
        <v>70</v>
      </c>
      <c r="C453" s="69" t="s">
        <v>76</v>
      </c>
      <c r="D453" s="71" t="s">
        <v>45</v>
      </c>
      <c r="E453" s="70" t="s">
        <v>286</v>
      </c>
      <c r="F453" s="74">
        <v>0.89170000000000005</v>
      </c>
      <c r="G453" s="70" t="s">
        <v>286</v>
      </c>
      <c r="H453" s="74">
        <v>6.5000000000000002E-2</v>
      </c>
    </row>
    <row r="454" spans="1:8" ht="15.6">
      <c r="A454" s="468" t="s">
        <v>882</v>
      </c>
      <c r="B454" s="67">
        <v>71</v>
      </c>
      <c r="C454" s="69" t="s">
        <v>76</v>
      </c>
      <c r="D454" s="71" t="s">
        <v>27</v>
      </c>
      <c r="E454" s="70" t="s">
        <v>286</v>
      </c>
      <c r="F454" s="74">
        <v>0.68469999999999998</v>
      </c>
      <c r="G454" s="70" t="s">
        <v>286</v>
      </c>
      <c r="H454" s="74">
        <v>4.7500000000000001E-2</v>
      </c>
    </row>
    <row r="455" spans="1:8" ht="15.6">
      <c r="A455" s="468" t="s">
        <v>883</v>
      </c>
      <c r="B455" s="67">
        <v>72</v>
      </c>
      <c r="C455" s="69" t="s">
        <v>76</v>
      </c>
      <c r="D455" s="71" t="s">
        <v>21</v>
      </c>
      <c r="E455" s="70" t="s">
        <v>286</v>
      </c>
      <c r="F455" s="74">
        <v>0.53080000000000005</v>
      </c>
      <c r="G455" s="70" t="s">
        <v>286</v>
      </c>
      <c r="H455" s="74">
        <v>3.4599999999999999E-2</v>
      </c>
    </row>
    <row r="456" spans="1:8" ht="15.6">
      <c r="A456" s="468" t="s">
        <v>884</v>
      </c>
      <c r="B456" s="67">
        <v>73</v>
      </c>
      <c r="C456" s="69" t="s">
        <v>76</v>
      </c>
      <c r="D456" s="71" t="s">
        <v>32</v>
      </c>
      <c r="E456" s="70" t="s">
        <v>286</v>
      </c>
      <c r="F456" s="74">
        <v>0.79700000000000004</v>
      </c>
      <c r="G456" s="70" t="s">
        <v>286</v>
      </c>
      <c r="H456" s="74">
        <v>5.7000000000000002E-2</v>
      </c>
    </row>
    <row r="457" spans="1:8" ht="15.6">
      <c r="A457" s="468" t="s">
        <v>885</v>
      </c>
      <c r="B457" s="67">
        <v>74</v>
      </c>
      <c r="C457" s="69" t="s">
        <v>76</v>
      </c>
      <c r="D457" s="71" t="s">
        <v>30</v>
      </c>
      <c r="E457" s="70" t="s">
        <v>286</v>
      </c>
      <c r="F457" s="74">
        <v>0.2792</v>
      </c>
      <c r="G457" s="70" t="s">
        <v>286</v>
      </c>
      <c r="H457" s="74">
        <v>1.34E-2</v>
      </c>
    </row>
    <row r="458" spans="1:8" ht="15.6">
      <c r="A458" s="468" t="s">
        <v>886</v>
      </c>
      <c r="B458" s="67">
        <v>75</v>
      </c>
      <c r="C458" s="69" t="s">
        <v>76</v>
      </c>
      <c r="D458" s="71" t="s">
        <v>28</v>
      </c>
      <c r="E458" s="70" t="s">
        <v>286</v>
      </c>
      <c r="F458" s="74">
        <v>0.18140000000000001</v>
      </c>
      <c r="G458" s="70" t="s">
        <v>286</v>
      </c>
      <c r="H458" s="74">
        <v>5.1999999999999998E-3</v>
      </c>
    </row>
    <row r="459" spans="1:8" ht="15.6">
      <c r="A459" s="468" t="s">
        <v>887</v>
      </c>
      <c r="B459" s="67">
        <v>76</v>
      </c>
      <c r="C459" s="69" t="s">
        <v>76</v>
      </c>
      <c r="D459" s="71" t="s">
        <v>79</v>
      </c>
      <c r="E459" s="70" t="s">
        <v>286</v>
      </c>
      <c r="F459" s="74">
        <v>0.1421</v>
      </c>
      <c r="G459" s="70" t="s">
        <v>286</v>
      </c>
      <c r="H459" s="74">
        <v>1.8E-3</v>
      </c>
    </row>
    <row r="460" spans="1:8" ht="15.6">
      <c r="A460" s="468" t="s">
        <v>888</v>
      </c>
      <c r="B460" s="67">
        <v>77</v>
      </c>
      <c r="C460" s="69" t="s">
        <v>76</v>
      </c>
      <c r="D460" s="71" t="s">
        <v>29</v>
      </c>
      <c r="E460" s="70" t="s">
        <v>286</v>
      </c>
      <c r="F460" s="74">
        <v>0.38929999999999998</v>
      </c>
      <c r="G460" s="70" t="s">
        <v>286</v>
      </c>
      <c r="H460" s="74">
        <v>2.2700000000000001E-2</v>
      </c>
    </row>
    <row r="461" spans="1:8" ht="15.6">
      <c r="A461" s="468" t="s">
        <v>889</v>
      </c>
      <c r="B461" s="67">
        <v>1</v>
      </c>
      <c r="C461" s="69" t="s">
        <v>76</v>
      </c>
      <c r="D461" s="71" t="s">
        <v>43</v>
      </c>
      <c r="E461" s="70" t="s">
        <v>286</v>
      </c>
      <c r="F461" s="74">
        <v>0.13289999999999999</v>
      </c>
      <c r="G461" s="70" t="s">
        <v>286</v>
      </c>
      <c r="H461" s="74">
        <v>1.1000000000000001E-3</v>
      </c>
    </row>
    <row r="462" spans="1:8" ht="15.6">
      <c r="A462" s="468" t="s">
        <v>890</v>
      </c>
      <c r="B462" s="67">
        <v>2</v>
      </c>
      <c r="C462" s="69" t="s">
        <v>76</v>
      </c>
      <c r="D462" s="71" t="s">
        <v>18</v>
      </c>
      <c r="E462" s="70" t="s">
        <v>286</v>
      </c>
      <c r="F462" s="74">
        <v>0.1991</v>
      </c>
      <c r="G462" s="70" t="s">
        <v>286</v>
      </c>
      <c r="H462" s="74">
        <v>6.7000000000000002E-3</v>
      </c>
    </row>
    <row r="463" spans="1:8" ht="15.6">
      <c r="A463" s="468" t="s">
        <v>891</v>
      </c>
      <c r="B463" s="67">
        <v>3</v>
      </c>
      <c r="C463" s="69" t="s">
        <v>76</v>
      </c>
      <c r="D463" s="71" t="s">
        <v>76</v>
      </c>
      <c r="E463" s="70" t="s">
        <v>286</v>
      </c>
      <c r="F463" s="74">
        <v>0.13289999999999999</v>
      </c>
      <c r="G463" s="70" t="s">
        <v>286</v>
      </c>
      <c r="H463" s="74">
        <v>1.1000000000000001E-3</v>
      </c>
    </row>
    <row r="464" spans="1:8" ht="15.6">
      <c r="A464" s="468" t="s">
        <v>892</v>
      </c>
      <c r="B464" s="67">
        <v>4</v>
      </c>
      <c r="C464" s="69" t="s">
        <v>76</v>
      </c>
      <c r="D464" s="71" t="s">
        <v>19</v>
      </c>
      <c r="E464" s="70" t="s">
        <v>286</v>
      </c>
      <c r="F464" s="74">
        <v>0.49859999999999999</v>
      </c>
      <c r="G464" s="70" t="s">
        <v>286</v>
      </c>
      <c r="H464" s="74">
        <v>3.1899999999999998E-2</v>
      </c>
    </row>
    <row r="465" spans="1:8" ht="15.6">
      <c r="A465" s="468" t="s">
        <v>893</v>
      </c>
      <c r="B465" s="67">
        <v>5</v>
      </c>
      <c r="C465" s="69" t="s">
        <v>76</v>
      </c>
      <c r="D465" s="71" t="s">
        <v>23</v>
      </c>
      <c r="E465" s="70" t="s">
        <v>286</v>
      </c>
      <c r="F465" s="74">
        <v>0.3745</v>
      </c>
      <c r="G465" s="70" t="s">
        <v>286</v>
      </c>
      <c r="H465" s="74">
        <v>2.1399999999999999E-2</v>
      </c>
    </row>
    <row r="466" spans="1:8" ht="15.6">
      <c r="A466" s="468" t="s">
        <v>894</v>
      </c>
      <c r="B466" s="67">
        <v>6</v>
      </c>
      <c r="C466" s="69" t="s">
        <v>76</v>
      </c>
      <c r="D466" s="71" t="s">
        <v>20</v>
      </c>
      <c r="E466" s="70" t="s">
        <v>286</v>
      </c>
      <c r="F466" s="74">
        <v>0.64029999999999998</v>
      </c>
      <c r="G466" s="70" t="s">
        <v>286</v>
      </c>
      <c r="H466" s="74">
        <v>4.3799999999999999E-2</v>
      </c>
    </row>
    <row r="467" spans="1:8" ht="15.6">
      <c r="A467" s="468" t="s">
        <v>895</v>
      </c>
      <c r="B467" s="67">
        <v>7</v>
      </c>
      <c r="C467" s="69" t="s">
        <v>76</v>
      </c>
      <c r="D467" s="71" t="s">
        <v>53</v>
      </c>
      <c r="E467" s="70" t="s">
        <v>286</v>
      </c>
      <c r="F467" s="74">
        <v>0.31330000000000002</v>
      </c>
      <c r="G467" s="70" t="s">
        <v>286</v>
      </c>
      <c r="H467" s="74">
        <v>1.6299999999999999E-2</v>
      </c>
    </row>
    <row r="468" spans="1:8" ht="15.6">
      <c r="A468" s="468" t="s">
        <v>896</v>
      </c>
      <c r="B468" s="67">
        <v>8</v>
      </c>
      <c r="C468" s="69" t="s">
        <v>76</v>
      </c>
      <c r="D468" s="71" t="s">
        <v>41</v>
      </c>
      <c r="E468" s="70" t="s">
        <v>286</v>
      </c>
      <c r="F468" s="74">
        <v>0.31609999999999999</v>
      </c>
      <c r="G468" s="70" t="s">
        <v>286</v>
      </c>
      <c r="H468" s="74">
        <v>1.6500000000000001E-2</v>
      </c>
    </row>
    <row r="469" spans="1:8" ht="15.6">
      <c r="A469" s="468" t="s">
        <v>897</v>
      </c>
      <c r="B469" s="67">
        <v>9</v>
      </c>
      <c r="C469" s="69" t="s">
        <v>76</v>
      </c>
      <c r="D469" s="71" t="s">
        <v>36</v>
      </c>
      <c r="E469" s="70" t="s">
        <v>286</v>
      </c>
      <c r="F469" s="74">
        <v>0.24030000000000001</v>
      </c>
      <c r="G469" s="70" t="s">
        <v>286</v>
      </c>
      <c r="H469" s="74">
        <v>1.01E-2</v>
      </c>
    </row>
    <row r="470" spans="1:8" ht="15.6">
      <c r="A470" s="468" t="s">
        <v>898</v>
      </c>
      <c r="B470" s="67">
        <v>10</v>
      </c>
      <c r="C470" s="69" t="s">
        <v>76</v>
      </c>
      <c r="D470" s="71" t="s">
        <v>15</v>
      </c>
      <c r="E470" s="70" t="s">
        <v>286</v>
      </c>
      <c r="F470" s="74">
        <v>0.50590000000000002</v>
      </c>
      <c r="G470" s="70" t="s">
        <v>286</v>
      </c>
      <c r="H470" s="74">
        <v>3.2500000000000001E-2</v>
      </c>
    </row>
    <row r="471" spans="1:8" ht="15.6">
      <c r="A471" s="468" t="s">
        <v>899</v>
      </c>
      <c r="B471" s="67">
        <v>11</v>
      </c>
      <c r="C471" s="69" t="s">
        <v>76</v>
      </c>
      <c r="D471" s="71" t="s">
        <v>16</v>
      </c>
      <c r="E471" s="70" t="s">
        <v>286</v>
      </c>
      <c r="F471" s="74">
        <v>0.78910000000000002</v>
      </c>
      <c r="G471" s="70" t="s">
        <v>286</v>
      </c>
      <c r="H471" s="74">
        <v>5.6300000000000003E-2</v>
      </c>
    </row>
    <row r="472" spans="1:8" ht="15.6">
      <c r="A472" s="468" t="s">
        <v>900</v>
      </c>
      <c r="B472" s="67">
        <v>12</v>
      </c>
      <c r="C472" s="69" t="s">
        <v>76</v>
      </c>
      <c r="D472" s="71" t="s">
        <v>17</v>
      </c>
      <c r="E472" s="70" t="s">
        <v>286</v>
      </c>
      <c r="F472" s="74">
        <v>1.5771999999999999</v>
      </c>
      <c r="G472" s="70" t="s">
        <v>286</v>
      </c>
      <c r="H472" s="74">
        <v>0.1227</v>
      </c>
    </row>
    <row r="473" spans="1:8" ht="15.6">
      <c r="A473" s="468" t="s">
        <v>901</v>
      </c>
      <c r="B473" s="67">
        <v>13</v>
      </c>
      <c r="C473" s="69" t="s">
        <v>76</v>
      </c>
      <c r="D473" s="71" t="s">
        <v>10</v>
      </c>
      <c r="E473" s="70" t="s">
        <v>286</v>
      </c>
      <c r="F473" s="74">
        <v>1.5771999999999999</v>
      </c>
      <c r="G473" s="70" t="s">
        <v>286</v>
      </c>
      <c r="H473" s="74">
        <v>0.1227</v>
      </c>
    </row>
    <row r="474" spans="1:8" ht="15.6">
      <c r="A474" s="468" t="s">
        <v>902</v>
      </c>
      <c r="B474" s="67">
        <v>14</v>
      </c>
      <c r="C474" s="69" t="s">
        <v>76</v>
      </c>
      <c r="D474" s="71" t="s">
        <v>22</v>
      </c>
      <c r="E474" s="70" t="s">
        <v>286</v>
      </c>
      <c r="F474" s="74">
        <v>0.4723</v>
      </c>
      <c r="G474" s="70" t="s">
        <v>286</v>
      </c>
      <c r="H474" s="74">
        <v>2.9600000000000001E-2</v>
      </c>
    </row>
    <row r="475" spans="1:8" ht="15.6">
      <c r="A475" s="468" t="s">
        <v>903</v>
      </c>
      <c r="B475" s="67">
        <v>15</v>
      </c>
      <c r="C475" s="69" t="s">
        <v>76</v>
      </c>
      <c r="D475" s="71" t="s">
        <v>35</v>
      </c>
      <c r="E475" s="70" t="s">
        <v>286</v>
      </c>
      <c r="F475" s="74">
        <v>0.1633</v>
      </c>
      <c r="G475" s="70" t="s">
        <v>286</v>
      </c>
      <c r="H475" s="74">
        <v>3.5999999999999999E-3</v>
      </c>
    </row>
    <row r="476" spans="1:8" ht="15.6">
      <c r="A476" s="468" t="s">
        <v>904</v>
      </c>
      <c r="B476" s="67">
        <v>16</v>
      </c>
      <c r="C476" s="69" t="s">
        <v>76</v>
      </c>
      <c r="D476" s="71" t="s">
        <v>24</v>
      </c>
      <c r="E476" s="70" t="s">
        <v>286</v>
      </c>
      <c r="F476" s="74">
        <v>0.62809999999999999</v>
      </c>
      <c r="G476" s="70" t="s">
        <v>286</v>
      </c>
      <c r="H476" s="74">
        <v>4.2799999999999998E-2</v>
      </c>
    </row>
    <row r="477" spans="1:8" ht="15.6">
      <c r="A477" s="468" t="s">
        <v>905</v>
      </c>
      <c r="B477" s="67">
        <v>17</v>
      </c>
      <c r="C477" s="69" t="s">
        <v>76</v>
      </c>
      <c r="D477" s="71" t="s">
        <v>37</v>
      </c>
      <c r="E477" s="70" t="s">
        <v>286</v>
      </c>
      <c r="F477" s="74">
        <v>0.2384</v>
      </c>
      <c r="G477" s="70" t="s">
        <v>286</v>
      </c>
      <c r="H477" s="74">
        <v>0.01</v>
      </c>
    </row>
    <row r="478" spans="1:8" ht="15.6">
      <c r="A478" s="468" t="s">
        <v>906</v>
      </c>
      <c r="B478" s="67">
        <v>18</v>
      </c>
      <c r="C478" s="69" t="s">
        <v>76</v>
      </c>
      <c r="D478" s="71" t="s">
        <v>38</v>
      </c>
      <c r="E478" s="70" t="s">
        <v>286</v>
      </c>
      <c r="F478" s="74">
        <v>0.41870000000000002</v>
      </c>
      <c r="G478" s="70" t="s">
        <v>286</v>
      </c>
      <c r="H478" s="74">
        <v>2.5100000000000001E-2</v>
      </c>
    </row>
    <row r="479" spans="1:8" ht="15.6">
      <c r="A479" s="468" t="s">
        <v>907</v>
      </c>
      <c r="B479" s="67">
        <v>19</v>
      </c>
      <c r="C479" s="69" t="s">
        <v>76</v>
      </c>
      <c r="D479" s="71" t="s">
        <v>26</v>
      </c>
      <c r="E479" s="70" t="s">
        <v>286</v>
      </c>
      <c r="F479" s="74">
        <v>0.64190000000000003</v>
      </c>
      <c r="G479" s="70" t="s">
        <v>286</v>
      </c>
      <c r="H479" s="74">
        <v>4.3900000000000002E-2</v>
      </c>
    </row>
    <row r="480" spans="1:8" ht="15.6">
      <c r="A480" s="468" t="s">
        <v>908</v>
      </c>
      <c r="B480" s="67">
        <v>20</v>
      </c>
      <c r="C480" s="69" t="s">
        <v>76</v>
      </c>
      <c r="D480" s="71" t="s">
        <v>52</v>
      </c>
      <c r="E480" s="70" t="s">
        <v>286</v>
      </c>
      <c r="F480" s="74">
        <v>1.6740999999999999</v>
      </c>
      <c r="G480" s="70" t="s">
        <v>286</v>
      </c>
      <c r="H480" s="74">
        <v>0.1308</v>
      </c>
    </row>
    <row r="481" spans="1:8" ht="15.6">
      <c r="A481" s="468" t="s">
        <v>909</v>
      </c>
      <c r="B481" s="67">
        <v>21</v>
      </c>
      <c r="C481" s="69" t="s">
        <v>76</v>
      </c>
      <c r="D481" s="71" t="s">
        <v>40</v>
      </c>
      <c r="E481" s="70" t="s">
        <v>286</v>
      </c>
      <c r="F481" s="74">
        <v>0.3322</v>
      </c>
      <c r="G481" s="70" t="s">
        <v>286</v>
      </c>
      <c r="H481" s="74">
        <v>1.7899999999999999E-2</v>
      </c>
    </row>
    <row r="482" spans="1:8" ht="15.6">
      <c r="A482" s="468" t="s">
        <v>910</v>
      </c>
      <c r="B482" s="67">
        <v>22</v>
      </c>
      <c r="C482" s="69" t="s">
        <v>76</v>
      </c>
      <c r="D482" s="71" t="s">
        <v>34</v>
      </c>
      <c r="E482" s="70" t="s">
        <v>286</v>
      </c>
      <c r="F482" s="74">
        <v>1.9045000000000001</v>
      </c>
      <c r="G482" s="70" t="s">
        <v>286</v>
      </c>
      <c r="H482" s="74">
        <v>0.1502</v>
      </c>
    </row>
    <row r="483" spans="1:8" ht="15.6">
      <c r="A483" s="468" t="s">
        <v>911</v>
      </c>
      <c r="B483" s="67">
        <v>23</v>
      </c>
      <c r="C483" s="69" t="s">
        <v>76</v>
      </c>
      <c r="D483" s="71" t="s">
        <v>54</v>
      </c>
      <c r="E483" s="70" t="s">
        <v>286</v>
      </c>
      <c r="F483" s="74">
        <v>0.31330000000000002</v>
      </c>
      <c r="G483" s="70" t="s">
        <v>286</v>
      </c>
      <c r="H483" s="74">
        <v>1.6299999999999999E-2</v>
      </c>
    </row>
    <row r="484" spans="1:8" ht="15.6">
      <c r="A484" s="468" t="s">
        <v>912</v>
      </c>
      <c r="B484" s="67">
        <v>24</v>
      </c>
      <c r="C484" s="69" t="s">
        <v>18</v>
      </c>
      <c r="D484" s="71" t="s">
        <v>12</v>
      </c>
      <c r="E484" s="70" t="s">
        <v>286</v>
      </c>
      <c r="F484" s="74">
        <v>2.4382000000000001</v>
      </c>
      <c r="G484" s="70" t="s">
        <v>286</v>
      </c>
      <c r="H484" s="74">
        <v>0.1951</v>
      </c>
    </row>
    <row r="485" spans="1:8" ht="15.6">
      <c r="A485" s="468" t="s">
        <v>913</v>
      </c>
      <c r="B485" s="67">
        <v>25</v>
      </c>
      <c r="C485" s="69" t="s">
        <v>18</v>
      </c>
      <c r="D485" s="71" t="s">
        <v>51</v>
      </c>
      <c r="E485" s="70" t="s">
        <v>286</v>
      </c>
      <c r="F485" s="74">
        <v>2.0933000000000002</v>
      </c>
      <c r="G485" s="70" t="s">
        <v>286</v>
      </c>
      <c r="H485" s="74">
        <v>0.1661</v>
      </c>
    </row>
    <row r="486" spans="1:8" ht="15.6">
      <c r="A486" s="468" t="s">
        <v>914</v>
      </c>
      <c r="B486" s="67">
        <v>26</v>
      </c>
      <c r="C486" s="69" t="s">
        <v>18</v>
      </c>
      <c r="D486" s="71" t="s">
        <v>13</v>
      </c>
      <c r="E486" s="70" t="s">
        <v>286</v>
      </c>
      <c r="F486" s="74">
        <v>1.9520999999999999</v>
      </c>
      <c r="G486" s="70" t="s">
        <v>286</v>
      </c>
      <c r="H486" s="74">
        <v>0.1542</v>
      </c>
    </row>
    <row r="487" spans="1:8" ht="15.6">
      <c r="A487" s="468" t="s">
        <v>915</v>
      </c>
      <c r="B487" s="67">
        <v>27</v>
      </c>
      <c r="C487" s="69" t="s">
        <v>18</v>
      </c>
      <c r="D487" s="71" t="s">
        <v>9</v>
      </c>
      <c r="E487" s="70" t="s">
        <v>286</v>
      </c>
      <c r="F487" s="74">
        <v>1.738</v>
      </c>
      <c r="G487" s="70" t="s">
        <v>286</v>
      </c>
      <c r="H487" s="74">
        <v>0.13619999999999999</v>
      </c>
    </row>
    <row r="488" spans="1:8" ht="15.6">
      <c r="A488" s="468" t="s">
        <v>916</v>
      </c>
      <c r="B488" s="67">
        <v>28</v>
      </c>
      <c r="C488" s="69" t="s">
        <v>18</v>
      </c>
      <c r="D488" s="71" t="s">
        <v>14</v>
      </c>
      <c r="E488" s="70" t="s">
        <v>286</v>
      </c>
      <c r="F488" s="74">
        <v>1.6632</v>
      </c>
      <c r="G488" s="70" t="s">
        <v>286</v>
      </c>
      <c r="H488" s="74">
        <v>0.12989999999999999</v>
      </c>
    </row>
    <row r="489" spans="1:8" ht="15.6">
      <c r="A489" s="468" t="s">
        <v>917</v>
      </c>
      <c r="B489" s="67">
        <v>29</v>
      </c>
      <c r="C489" s="69" t="s">
        <v>18</v>
      </c>
      <c r="D489" s="71" t="s">
        <v>33</v>
      </c>
      <c r="E489" s="70" t="s">
        <v>286</v>
      </c>
      <c r="F489" s="74">
        <v>1.3004</v>
      </c>
      <c r="G489" s="70" t="s">
        <v>286</v>
      </c>
      <c r="H489" s="74">
        <v>9.9400000000000002E-2</v>
      </c>
    </row>
    <row r="490" spans="1:8" ht="15.6">
      <c r="A490" s="468" t="s">
        <v>918</v>
      </c>
      <c r="B490" s="67">
        <v>30</v>
      </c>
      <c r="C490" s="69" t="s">
        <v>18</v>
      </c>
      <c r="D490" s="71" t="s">
        <v>25</v>
      </c>
      <c r="E490" s="70" t="s">
        <v>286</v>
      </c>
      <c r="F490" s="74">
        <v>1.1491</v>
      </c>
      <c r="G490" s="70" t="s">
        <v>286</v>
      </c>
      <c r="H490" s="74">
        <v>8.6599999999999996E-2</v>
      </c>
    </row>
    <row r="491" spans="1:8" ht="15.6">
      <c r="A491" s="468" t="s">
        <v>919</v>
      </c>
      <c r="B491" s="67">
        <v>31</v>
      </c>
      <c r="C491" s="69" t="s">
        <v>18</v>
      </c>
      <c r="D491" s="71" t="s">
        <v>31</v>
      </c>
      <c r="E491" s="70" t="s">
        <v>286</v>
      </c>
      <c r="F491" s="74">
        <v>0.55089999999999995</v>
      </c>
      <c r="G491" s="70" t="s">
        <v>286</v>
      </c>
      <c r="H491" s="74">
        <v>3.6299999999999999E-2</v>
      </c>
    </row>
    <row r="492" spans="1:8" ht="15.6">
      <c r="A492" s="468" t="s">
        <v>920</v>
      </c>
      <c r="B492" s="67">
        <v>32</v>
      </c>
      <c r="C492" s="69" t="s">
        <v>18</v>
      </c>
      <c r="D492" s="71" t="s">
        <v>45</v>
      </c>
      <c r="E492" s="70" t="s">
        <v>286</v>
      </c>
      <c r="F492" s="74">
        <v>0.88619999999999999</v>
      </c>
      <c r="G492" s="70" t="s">
        <v>286</v>
      </c>
      <c r="H492" s="74">
        <v>6.4500000000000002E-2</v>
      </c>
    </row>
    <row r="493" spans="1:8" ht="15.6">
      <c r="A493" s="468" t="s">
        <v>921</v>
      </c>
      <c r="B493" s="67">
        <v>33</v>
      </c>
      <c r="C493" s="69" t="s">
        <v>18</v>
      </c>
      <c r="D493" s="71" t="s">
        <v>27</v>
      </c>
      <c r="E493" s="70" t="s">
        <v>286</v>
      </c>
      <c r="F493" s="74">
        <v>0.67920000000000003</v>
      </c>
      <c r="G493" s="70" t="s">
        <v>286</v>
      </c>
      <c r="H493" s="74">
        <v>4.7100000000000003E-2</v>
      </c>
    </row>
    <row r="494" spans="1:8" ht="15.6">
      <c r="A494" s="468" t="s">
        <v>922</v>
      </c>
      <c r="B494" s="67">
        <v>34</v>
      </c>
      <c r="C494" s="69" t="s">
        <v>18</v>
      </c>
      <c r="D494" s="71" t="s">
        <v>21</v>
      </c>
      <c r="E494" s="70" t="s">
        <v>286</v>
      </c>
      <c r="F494" s="74">
        <v>0.52539999999999998</v>
      </c>
      <c r="G494" s="70" t="s">
        <v>286</v>
      </c>
      <c r="H494" s="74">
        <v>3.4099999999999998E-2</v>
      </c>
    </row>
    <row r="495" spans="1:8" ht="15.6">
      <c r="A495" s="468" t="s">
        <v>923</v>
      </c>
      <c r="B495" s="67">
        <v>35</v>
      </c>
      <c r="C495" s="69" t="s">
        <v>18</v>
      </c>
      <c r="D495" s="71" t="s">
        <v>32</v>
      </c>
      <c r="E495" s="70" t="s">
        <v>286</v>
      </c>
      <c r="F495" s="74">
        <v>0.85470000000000002</v>
      </c>
      <c r="G495" s="70" t="s">
        <v>286</v>
      </c>
      <c r="H495" s="74">
        <v>6.1800000000000001E-2</v>
      </c>
    </row>
    <row r="496" spans="1:8" ht="15.6">
      <c r="A496" s="468" t="s">
        <v>924</v>
      </c>
      <c r="B496" s="67">
        <v>36</v>
      </c>
      <c r="C496" s="69" t="s">
        <v>18</v>
      </c>
      <c r="D496" s="71" t="s">
        <v>30</v>
      </c>
      <c r="E496" s="70" t="s">
        <v>286</v>
      </c>
      <c r="F496" s="74">
        <v>0.2737</v>
      </c>
      <c r="G496" s="70" t="s">
        <v>286</v>
      </c>
      <c r="H496" s="74">
        <v>1.29E-2</v>
      </c>
    </row>
    <row r="497" spans="1:8" ht="15.6">
      <c r="A497" s="468" t="s">
        <v>925</v>
      </c>
      <c r="B497" s="67">
        <v>37</v>
      </c>
      <c r="C497" s="69" t="s">
        <v>18</v>
      </c>
      <c r="D497" s="71" t="s">
        <v>28</v>
      </c>
      <c r="E497" s="70" t="s">
        <v>286</v>
      </c>
      <c r="F497" s="74">
        <v>0.23130000000000001</v>
      </c>
      <c r="G497" s="70" t="s">
        <v>286</v>
      </c>
      <c r="H497" s="74">
        <v>9.4000000000000004E-3</v>
      </c>
    </row>
    <row r="498" spans="1:8" ht="15.6">
      <c r="A498" s="468" t="s">
        <v>926</v>
      </c>
      <c r="B498" s="67">
        <v>38</v>
      </c>
      <c r="C498" s="69" t="s">
        <v>18</v>
      </c>
      <c r="D498" s="71" t="s">
        <v>79</v>
      </c>
      <c r="E498" s="70" t="s">
        <v>286</v>
      </c>
      <c r="F498" s="74">
        <v>0.20499999999999999</v>
      </c>
      <c r="G498" s="70" t="s">
        <v>286</v>
      </c>
      <c r="H498" s="74">
        <v>7.1000000000000004E-3</v>
      </c>
    </row>
    <row r="499" spans="1:8" ht="15.6">
      <c r="A499" s="468" t="s">
        <v>927</v>
      </c>
      <c r="B499" s="67">
        <v>39</v>
      </c>
      <c r="C499" s="69" t="s">
        <v>18</v>
      </c>
      <c r="D499" s="71" t="s">
        <v>29</v>
      </c>
      <c r="E499" s="70" t="s">
        <v>286</v>
      </c>
      <c r="F499" s="74">
        <v>0.36559999999999998</v>
      </c>
      <c r="G499" s="70" t="s">
        <v>286</v>
      </c>
      <c r="H499" s="74">
        <v>2.07E-2</v>
      </c>
    </row>
    <row r="500" spans="1:8" ht="15.6">
      <c r="A500" s="468" t="s">
        <v>928</v>
      </c>
      <c r="B500" s="67">
        <v>40</v>
      </c>
      <c r="C500" s="69" t="s">
        <v>18</v>
      </c>
      <c r="D500" s="71" t="s">
        <v>43</v>
      </c>
      <c r="E500" s="70" t="s">
        <v>286</v>
      </c>
      <c r="F500" s="74">
        <v>0.1991</v>
      </c>
      <c r="G500" s="70" t="s">
        <v>286</v>
      </c>
      <c r="H500" s="74">
        <v>6.7000000000000002E-3</v>
      </c>
    </row>
    <row r="501" spans="1:8" ht="15.6">
      <c r="A501" s="468" t="s">
        <v>929</v>
      </c>
      <c r="B501" s="67">
        <v>41</v>
      </c>
      <c r="C501" s="69" t="s">
        <v>18</v>
      </c>
      <c r="D501" s="71" t="s">
        <v>18</v>
      </c>
      <c r="E501" s="70" t="s">
        <v>286</v>
      </c>
      <c r="F501" s="74">
        <v>0.13289999999999999</v>
      </c>
      <c r="G501" s="70" t="s">
        <v>286</v>
      </c>
      <c r="H501" s="74">
        <v>1.1000000000000001E-3</v>
      </c>
    </row>
    <row r="502" spans="1:8" ht="15.6">
      <c r="A502" s="468" t="s">
        <v>930</v>
      </c>
      <c r="B502" s="67">
        <v>42</v>
      </c>
      <c r="C502" s="69" t="s">
        <v>18</v>
      </c>
      <c r="D502" s="71" t="s">
        <v>76</v>
      </c>
      <c r="E502" s="70" t="s">
        <v>286</v>
      </c>
      <c r="F502" s="74">
        <v>0.1991</v>
      </c>
      <c r="G502" s="70" t="s">
        <v>286</v>
      </c>
      <c r="H502" s="74">
        <v>6.7000000000000002E-3</v>
      </c>
    </row>
    <row r="503" spans="1:8" ht="15.6">
      <c r="A503" s="468" t="s">
        <v>931</v>
      </c>
      <c r="B503" s="67">
        <v>43</v>
      </c>
      <c r="C503" s="69" t="s">
        <v>18</v>
      </c>
      <c r="D503" s="71" t="s">
        <v>19</v>
      </c>
      <c r="E503" s="70" t="s">
        <v>286</v>
      </c>
      <c r="F503" s="74">
        <v>0.47489999999999999</v>
      </c>
      <c r="G503" s="70" t="s">
        <v>286</v>
      </c>
      <c r="H503" s="74">
        <v>2.9899999999999999E-2</v>
      </c>
    </row>
    <row r="504" spans="1:8" ht="15.6">
      <c r="A504" s="468" t="s">
        <v>932</v>
      </c>
      <c r="B504" s="67">
        <v>44</v>
      </c>
      <c r="C504" s="69" t="s">
        <v>18</v>
      </c>
      <c r="D504" s="71" t="s">
        <v>23</v>
      </c>
      <c r="E504" s="70" t="s">
        <v>286</v>
      </c>
      <c r="F504" s="74">
        <v>0.35099999999999998</v>
      </c>
      <c r="G504" s="70" t="s">
        <v>286</v>
      </c>
      <c r="H504" s="74">
        <v>1.9400000000000001E-2</v>
      </c>
    </row>
    <row r="505" spans="1:8" ht="15.6">
      <c r="A505" s="468" t="s">
        <v>933</v>
      </c>
      <c r="B505" s="67">
        <v>45</v>
      </c>
      <c r="C505" s="69" t="s">
        <v>18</v>
      </c>
      <c r="D505" s="71" t="s">
        <v>20</v>
      </c>
      <c r="E505" s="70" t="s">
        <v>286</v>
      </c>
      <c r="F505" s="74">
        <v>0.61650000000000005</v>
      </c>
      <c r="G505" s="70" t="s">
        <v>286</v>
      </c>
      <c r="H505" s="74">
        <v>4.1799999999999997E-2</v>
      </c>
    </row>
    <row r="506" spans="1:8" ht="15.6">
      <c r="A506" s="468" t="s">
        <v>934</v>
      </c>
      <c r="B506" s="67">
        <v>46</v>
      </c>
      <c r="C506" s="69" t="s">
        <v>18</v>
      </c>
      <c r="D506" s="71" t="s">
        <v>53</v>
      </c>
      <c r="E506" s="70" t="s">
        <v>286</v>
      </c>
      <c r="F506" s="74">
        <v>0.371</v>
      </c>
      <c r="G506" s="70" t="s">
        <v>286</v>
      </c>
      <c r="H506" s="74">
        <v>2.1100000000000001E-2</v>
      </c>
    </row>
    <row r="507" spans="1:8" ht="15.6">
      <c r="A507" s="468" t="s">
        <v>935</v>
      </c>
      <c r="B507" s="67">
        <v>47</v>
      </c>
      <c r="C507" s="69" t="s">
        <v>18</v>
      </c>
      <c r="D507" s="71" t="s">
        <v>41</v>
      </c>
      <c r="E507" s="70" t="s">
        <v>286</v>
      </c>
      <c r="F507" s="74">
        <v>0.37390000000000001</v>
      </c>
      <c r="G507" s="70" t="s">
        <v>286</v>
      </c>
      <c r="H507" s="74">
        <v>2.1399999999999999E-2</v>
      </c>
    </row>
    <row r="508" spans="1:8" ht="15.6">
      <c r="A508" s="468" t="s">
        <v>936</v>
      </c>
      <c r="B508" s="67">
        <v>48</v>
      </c>
      <c r="C508" s="69" t="s">
        <v>18</v>
      </c>
      <c r="D508" s="71" t="s">
        <v>36</v>
      </c>
      <c r="E508" s="70" t="s">
        <v>286</v>
      </c>
      <c r="F508" s="74">
        <v>0.2757</v>
      </c>
      <c r="G508" s="70" t="s">
        <v>286</v>
      </c>
      <c r="H508" s="74">
        <v>1.3100000000000001E-2</v>
      </c>
    </row>
    <row r="509" spans="1:8" ht="15.6">
      <c r="A509" s="468" t="s">
        <v>937</v>
      </c>
      <c r="B509" s="67">
        <v>49</v>
      </c>
      <c r="C509" s="69" t="s">
        <v>18</v>
      </c>
      <c r="D509" s="71" t="s">
        <v>15</v>
      </c>
      <c r="E509" s="70" t="s">
        <v>286</v>
      </c>
      <c r="F509" s="74">
        <v>0.4824</v>
      </c>
      <c r="G509" s="70" t="s">
        <v>286</v>
      </c>
      <c r="H509" s="74">
        <v>3.0499999999999999E-2</v>
      </c>
    </row>
    <row r="510" spans="1:8" ht="15.6">
      <c r="A510" s="468" t="s">
        <v>938</v>
      </c>
      <c r="B510" s="67">
        <v>50</v>
      </c>
      <c r="C510" s="69" t="s">
        <v>18</v>
      </c>
      <c r="D510" s="71" t="s">
        <v>16</v>
      </c>
      <c r="E510" s="70" t="s">
        <v>286</v>
      </c>
      <c r="F510" s="74">
        <v>0.76559999999999995</v>
      </c>
      <c r="G510" s="70" t="s">
        <v>286</v>
      </c>
      <c r="H510" s="74">
        <v>5.4300000000000001E-2</v>
      </c>
    </row>
    <row r="511" spans="1:8" ht="15.6">
      <c r="A511" s="468" t="s">
        <v>939</v>
      </c>
      <c r="B511" s="67">
        <v>51</v>
      </c>
      <c r="C511" s="69" t="s">
        <v>18</v>
      </c>
      <c r="D511" s="71" t="s">
        <v>17</v>
      </c>
      <c r="E511" s="70" t="s">
        <v>286</v>
      </c>
      <c r="F511" s="74">
        <v>1.635</v>
      </c>
      <c r="G511" s="70" t="s">
        <v>286</v>
      </c>
      <c r="H511" s="74">
        <v>0.1275</v>
      </c>
    </row>
    <row r="512" spans="1:8" ht="15.6">
      <c r="A512" s="468" t="s">
        <v>940</v>
      </c>
      <c r="B512" s="67">
        <v>52</v>
      </c>
      <c r="C512" s="69" t="s">
        <v>18</v>
      </c>
      <c r="D512" s="71" t="s">
        <v>10</v>
      </c>
      <c r="E512" s="70" t="s">
        <v>286</v>
      </c>
      <c r="F512" s="74">
        <v>1.635</v>
      </c>
      <c r="G512" s="70" t="s">
        <v>286</v>
      </c>
      <c r="H512" s="74">
        <v>0.1275</v>
      </c>
    </row>
    <row r="513" spans="1:8" ht="15.6">
      <c r="A513" s="468" t="s">
        <v>941</v>
      </c>
      <c r="B513" s="67">
        <v>53</v>
      </c>
      <c r="C513" s="69" t="s">
        <v>18</v>
      </c>
      <c r="D513" s="71" t="s">
        <v>22</v>
      </c>
      <c r="E513" s="70" t="s">
        <v>286</v>
      </c>
      <c r="F513" s="74">
        <v>0.44869999999999999</v>
      </c>
      <c r="G513" s="70" t="s">
        <v>286</v>
      </c>
      <c r="H513" s="74">
        <v>2.7699999999999999E-2</v>
      </c>
    </row>
    <row r="514" spans="1:8" ht="15.6">
      <c r="A514" s="468" t="s">
        <v>942</v>
      </c>
      <c r="B514" s="67">
        <v>54</v>
      </c>
      <c r="C514" s="69" t="s">
        <v>18</v>
      </c>
      <c r="D514" s="71" t="s">
        <v>35</v>
      </c>
      <c r="E514" s="70" t="s">
        <v>286</v>
      </c>
      <c r="F514" s="74">
        <v>0.22120000000000001</v>
      </c>
      <c r="G514" s="70" t="s">
        <v>286</v>
      </c>
      <c r="H514" s="74">
        <v>8.5000000000000006E-3</v>
      </c>
    </row>
    <row r="515" spans="1:8" ht="15.6">
      <c r="A515" s="468" t="s">
        <v>943</v>
      </c>
      <c r="B515" s="67">
        <v>55</v>
      </c>
      <c r="C515" s="69" t="s">
        <v>18</v>
      </c>
      <c r="D515" s="71" t="s">
        <v>24</v>
      </c>
      <c r="E515" s="70" t="s">
        <v>286</v>
      </c>
      <c r="F515" s="74">
        <v>0.60460000000000003</v>
      </c>
      <c r="G515" s="70" t="s">
        <v>286</v>
      </c>
      <c r="H515" s="74">
        <v>4.0800000000000003E-2</v>
      </c>
    </row>
    <row r="516" spans="1:8" ht="15.6">
      <c r="A516" s="468" t="s">
        <v>944</v>
      </c>
      <c r="B516" s="67">
        <v>56</v>
      </c>
      <c r="C516" s="69" t="s">
        <v>18</v>
      </c>
      <c r="D516" s="71" t="s">
        <v>37</v>
      </c>
      <c r="E516" s="70" t="s">
        <v>286</v>
      </c>
      <c r="F516" s="74">
        <v>0.27310000000000001</v>
      </c>
      <c r="G516" s="70" t="s">
        <v>286</v>
      </c>
      <c r="H516" s="74">
        <v>1.29E-2</v>
      </c>
    </row>
    <row r="517" spans="1:8" ht="15.6">
      <c r="A517" s="468" t="s">
        <v>945</v>
      </c>
      <c r="B517" s="67">
        <v>57</v>
      </c>
      <c r="C517" s="69" t="s">
        <v>18</v>
      </c>
      <c r="D517" s="71" t="s">
        <v>38</v>
      </c>
      <c r="E517" s="70" t="s">
        <v>286</v>
      </c>
      <c r="F517" s="74">
        <v>0.4133</v>
      </c>
      <c r="G517" s="70" t="s">
        <v>286</v>
      </c>
      <c r="H517" s="74">
        <v>2.47E-2</v>
      </c>
    </row>
    <row r="518" spans="1:8" ht="15.6">
      <c r="A518" s="468" t="s">
        <v>946</v>
      </c>
      <c r="B518" s="67">
        <v>58</v>
      </c>
      <c r="C518" s="69" t="s">
        <v>18</v>
      </c>
      <c r="D518" s="71" t="s">
        <v>26</v>
      </c>
      <c r="E518" s="70" t="s">
        <v>286</v>
      </c>
      <c r="F518" s="74">
        <v>0.61839999999999995</v>
      </c>
      <c r="G518" s="70" t="s">
        <v>286</v>
      </c>
      <c r="H518" s="74">
        <v>4.2000000000000003E-2</v>
      </c>
    </row>
    <row r="519" spans="1:8" ht="15.6">
      <c r="A519" s="468" t="s">
        <v>947</v>
      </c>
      <c r="B519" s="67">
        <v>59</v>
      </c>
      <c r="C519" s="69" t="s">
        <v>18</v>
      </c>
      <c r="D519" s="71" t="s">
        <v>52</v>
      </c>
      <c r="E519" s="70" t="s">
        <v>286</v>
      </c>
      <c r="F519" s="74">
        <v>1.6632</v>
      </c>
      <c r="G519" s="70" t="s">
        <v>286</v>
      </c>
      <c r="H519" s="74">
        <v>0.12989999999999999</v>
      </c>
    </row>
    <row r="520" spans="1:8" ht="15.6">
      <c r="A520" s="468" t="s">
        <v>948</v>
      </c>
      <c r="B520" s="67">
        <v>60</v>
      </c>
      <c r="C520" s="69" t="s">
        <v>18</v>
      </c>
      <c r="D520" s="71" t="s">
        <v>40</v>
      </c>
      <c r="E520" s="70" t="s">
        <v>286</v>
      </c>
      <c r="F520" s="74">
        <v>0.3901</v>
      </c>
      <c r="G520" s="70" t="s">
        <v>286</v>
      </c>
      <c r="H520" s="74">
        <v>2.2700000000000001E-2</v>
      </c>
    </row>
    <row r="521" spans="1:8" ht="15.6">
      <c r="A521" s="468" t="s">
        <v>949</v>
      </c>
      <c r="B521" s="67">
        <v>61</v>
      </c>
      <c r="C521" s="69" t="s">
        <v>18</v>
      </c>
      <c r="D521" s="71" t="s">
        <v>34</v>
      </c>
      <c r="E521" s="70" t="s">
        <v>286</v>
      </c>
      <c r="F521" s="74">
        <v>1.9520999999999999</v>
      </c>
      <c r="G521" s="70" t="s">
        <v>286</v>
      </c>
      <c r="H521" s="74">
        <v>0.1542</v>
      </c>
    </row>
    <row r="522" spans="1:8" ht="15.6">
      <c r="A522" s="468" t="s">
        <v>950</v>
      </c>
      <c r="B522" s="67">
        <v>62</v>
      </c>
      <c r="C522" s="69" t="s">
        <v>18</v>
      </c>
      <c r="D522" s="71" t="s">
        <v>54</v>
      </c>
      <c r="E522" s="70" t="s">
        <v>286</v>
      </c>
      <c r="F522" s="74">
        <v>0.37109999999999999</v>
      </c>
      <c r="G522" s="70" t="s">
        <v>286</v>
      </c>
      <c r="H522" s="74">
        <v>2.1100000000000001E-2</v>
      </c>
    </row>
    <row r="523" spans="1:8" ht="15.6">
      <c r="A523" s="468" t="s">
        <v>951</v>
      </c>
      <c r="B523" s="67">
        <v>63</v>
      </c>
      <c r="C523" s="69" t="s">
        <v>19</v>
      </c>
      <c r="D523" s="71" t="s">
        <v>12</v>
      </c>
      <c r="E523" s="70" t="s">
        <v>286</v>
      </c>
      <c r="F523" s="74">
        <v>2.5112000000000001</v>
      </c>
      <c r="G523" s="70" t="s">
        <v>286</v>
      </c>
      <c r="H523" s="74">
        <v>0.20130000000000001</v>
      </c>
    </row>
    <row r="524" spans="1:8" ht="15.6">
      <c r="A524" s="468" t="s">
        <v>952</v>
      </c>
      <c r="B524" s="67">
        <v>64</v>
      </c>
      <c r="C524" s="69" t="s">
        <v>19</v>
      </c>
      <c r="D524" s="71" t="s">
        <v>51</v>
      </c>
      <c r="E524" s="70" t="s">
        <v>286</v>
      </c>
      <c r="F524" s="74">
        <v>2.1663000000000001</v>
      </c>
      <c r="G524" s="70" t="s">
        <v>286</v>
      </c>
      <c r="H524" s="74">
        <v>0.17230000000000001</v>
      </c>
    </row>
    <row r="525" spans="1:8" ht="15.6">
      <c r="A525" s="468" t="s">
        <v>953</v>
      </c>
      <c r="B525" s="67">
        <v>65</v>
      </c>
      <c r="C525" s="69" t="s">
        <v>19</v>
      </c>
      <c r="D525" s="71" t="s">
        <v>13</v>
      </c>
      <c r="E525" s="70" t="s">
        <v>286</v>
      </c>
      <c r="F525" s="74">
        <v>2.0249999999999999</v>
      </c>
      <c r="G525" s="70" t="s">
        <v>286</v>
      </c>
      <c r="H525" s="74">
        <v>0.16039999999999999</v>
      </c>
    </row>
    <row r="526" spans="1:8" ht="15.6">
      <c r="A526" s="468" t="s">
        <v>954</v>
      </c>
      <c r="B526" s="67">
        <v>66</v>
      </c>
      <c r="C526" s="69" t="s">
        <v>19</v>
      </c>
      <c r="D526" s="71" t="s">
        <v>9</v>
      </c>
      <c r="E526" s="70" t="s">
        <v>286</v>
      </c>
      <c r="F526" s="74">
        <v>1.8123</v>
      </c>
      <c r="G526" s="70" t="s">
        <v>286</v>
      </c>
      <c r="H526" s="74">
        <v>0.14249999999999999</v>
      </c>
    </row>
    <row r="527" spans="1:8" ht="15.6">
      <c r="A527" s="468" t="s">
        <v>955</v>
      </c>
      <c r="B527" s="67">
        <v>67</v>
      </c>
      <c r="C527" s="69" t="s">
        <v>19</v>
      </c>
      <c r="D527" s="71" t="s">
        <v>14</v>
      </c>
      <c r="E527" s="70" t="s">
        <v>286</v>
      </c>
      <c r="F527" s="74">
        <v>1.7151000000000001</v>
      </c>
      <c r="G527" s="70" t="s">
        <v>286</v>
      </c>
      <c r="H527" s="74">
        <v>0.1343</v>
      </c>
    </row>
    <row r="528" spans="1:8" ht="15.6">
      <c r="A528" s="468" t="s">
        <v>956</v>
      </c>
      <c r="B528" s="67">
        <v>68</v>
      </c>
      <c r="C528" s="69" t="s">
        <v>19</v>
      </c>
      <c r="D528" s="71" t="s">
        <v>33</v>
      </c>
      <c r="E528" s="70" t="s">
        <v>286</v>
      </c>
      <c r="F528" s="74">
        <v>1.3467</v>
      </c>
      <c r="G528" s="70" t="s">
        <v>286</v>
      </c>
      <c r="H528" s="74">
        <v>0.1033</v>
      </c>
    </row>
    <row r="529" spans="1:8" ht="15.6">
      <c r="A529" s="468" t="s">
        <v>957</v>
      </c>
      <c r="B529" s="67">
        <v>69</v>
      </c>
      <c r="C529" s="69" t="s">
        <v>19</v>
      </c>
      <c r="D529" s="71" t="s">
        <v>25</v>
      </c>
      <c r="E529" s="70" t="s">
        <v>286</v>
      </c>
      <c r="F529" s="74">
        <v>1.1956</v>
      </c>
      <c r="G529" s="70" t="s">
        <v>286</v>
      </c>
      <c r="H529" s="74">
        <v>9.0499999999999997E-2</v>
      </c>
    </row>
    <row r="530" spans="1:8" ht="15.6">
      <c r="A530" s="468" t="s">
        <v>958</v>
      </c>
      <c r="B530" s="67">
        <v>70</v>
      </c>
      <c r="C530" s="69" t="s">
        <v>19</v>
      </c>
      <c r="D530" s="71" t="s">
        <v>31</v>
      </c>
      <c r="E530" s="70" t="s">
        <v>286</v>
      </c>
      <c r="F530" s="74">
        <v>0.59789999999999999</v>
      </c>
      <c r="G530" s="70" t="s">
        <v>286</v>
      </c>
      <c r="H530" s="74">
        <v>4.02E-2</v>
      </c>
    </row>
    <row r="531" spans="1:8" ht="15.6">
      <c r="A531" s="468" t="s">
        <v>959</v>
      </c>
      <c r="B531" s="67">
        <v>71</v>
      </c>
      <c r="C531" s="69" t="s">
        <v>19</v>
      </c>
      <c r="D531" s="71" t="s">
        <v>45</v>
      </c>
      <c r="E531" s="70" t="s">
        <v>286</v>
      </c>
      <c r="F531" s="74">
        <v>0.93259999999999998</v>
      </c>
      <c r="G531" s="70" t="s">
        <v>286</v>
      </c>
      <c r="H531" s="74">
        <v>6.8400000000000002E-2</v>
      </c>
    </row>
    <row r="532" spans="1:8" ht="15.6">
      <c r="A532" s="468" t="s">
        <v>960</v>
      </c>
      <c r="B532" s="67">
        <v>72</v>
      </c>
      <c r="C532" s="69" t="s">
        <v>19</v>
      </c>
      <c r="D532" s="71" t="s">
        <v>27</v>
      </c>
      <c r="E532" s="70" t="s">
        <v>286</v>
      </c>
      <c r="F532" s="74">
        <v>0.72560000000000002</v>
      </c>
      <c r="G532" s="70" t="s">
        <v>286</v>
      </c>
      <c r="H532" s="74">
        <v>5.0999999999999997E-2</v>
      </c>
    </row>
    <row r="533" spans="1:8" ht="15.6">
      <c r="A533" s="468" t="s">
        <v>961</v>
      </c>
      <c r="B533" s="67">
        <v>73</v>
      </c>
      <c r="C533" s="69" t="s">
        <v>19</v>
      </c>
      <c r="D533" s="71" t="s">
        <v>21</v>
      </c>
      <c r="E533" s="70" t="s">
        <v>286</v>
      </c>
      <c r="F533" s="74">
        <v>0.57179999999999997</v>
      </c>
      <c r="G533" s="70" t="s">
        <v>286</v>
      </c>
      <c r="H533" s="74">
        <v>3.7999999999999999E-2</v>
      </c>
    </row>
    <row r="534" spans="1:8" ht="15.6">
      <c r="A534" s="468" t="s">
        <v>962</v>
      </c>
      <c r="B534" s="67">
        <v>74</v>
      </c>
      <c r="C534" s="69" t="s">
        <v>19</v>
      </c>
      <c r="D534" s="71" t="s">
        <v>32</v>
      </c>
      <c r="E534" s="70" t="s">
        <v>286</v>
      </c>
      <c r="F534" s="74">
        <v>1.1626000000000001</v>
      </c>
      <c r="G534" s="70" t="s">
        <v>286</v>
      </c>
      <c r="H534" s="74">
        <v>8.7800000000000003E-2</v>
      </c>
    </row>
    <row r="535" spans="1:8" ht="15.6">
      <c r="A535" s="468" t="s">
        <v>963</v>
      </c>
      <c r="B535" s="67">
        <v>75</v>
      </c>
      <c r="C535" s="69" t="s">
        <v>19</v>
      </c>
      <c r="D535" s="71" t="s">
        <v>30</v>
      </c>
      <c r="E535" s="70" t="s">
        <v>286</v>
      </c>
      <c r="F535" s="74">
        <v>0.5343</v>
      </c>
      <c r="G535" s="70" t="s">
        <v>286</v>
      </c>
      <c r="H535" s="74">
        <v>3.49E-2</v>
      </c>
    </row>
    <row r="536" spans="1:8" ht="15.6">
      <c r="A536" s="468" t="s">
        <v>964</v>
      </c>
      <c r="B536" s="67">
        <v>76</v>
      </c>
      <c r="C536" s="69" t="s">
        <v>19</v>
      </c>
      <c r="D536" s="71" t="s">
        <v>28</v>
      </c>
      <c r="E536" s="70" t="s">
        <v>286</v>
      </c>
      <c r="F536" s="74">
        <v>0.54710000000000003</v>
      </c>
      <c r="G536" s="70" t="s">
        <v>286</v>
      </c>
      <c r="H536" s="74">
        <v>3.5900000000000001E-2</v>
      </c>
    </row>
    <row r="537" spans="1:8" ht="15.6">
      <c r="A537" s="468" t="s">
        <v>965</v>
      </c>
      <c r="B537" s="67">
        <v>77</v>
      </c>
      <c r="C537" s="69" t="s">
        <v>19</v>
      </c>
      <c r="D537" s="71" t="s">
        <v>79</v>
      </c>
      <c r="E537" s="70" t="s">
        <v>286</v>
      </c>
      <c r="F537" s="74">
        <v>0.50770000000000004</v>
      </c>
      <c r="G537" s="70" t="s">
        <v>286</v>
      </c>
      <c r="H537" s="74">
        <v>3.2599999999999997E-2</v>
      </c>
    </row>
    <row r="538" spans="1:8" ht="15.6">
      <c r="A538" s="468" t="s">
        <v>966</v>
      </c>
      <c r="B538" s="67">
        <v>1</v>
      </c>
      <c r="C538" s="69" t="s">
        <v>19</v>
      </c>
      <c r="D538" s="71" t="s">
        <v>29</v>
      </c>
      <c r="E538" s="70" t="s">
        <v>286</v>
      </c>
      <c r="F538" s="74">
        <v>0.27329999999999999</v>
      </c>
      <c r="G538" s="70" t="s">
        <v>286</v>
      </c>
      <c r="H538" s="74">
        <v>1.29E-2</v>
      </c>
    </row>
    <row r="539" spans="1:8" ht="15.6">
      <c r="A539" s="468" t="s">
        <v>967</v>
      </c>
      <c r="B539" s="67">
        <v>2</v>
      </c>
      <c r="C539" s="69" t="s">
        <v>19</v>
      </c>
      <c r="D539" s="71" t="s">
        <v>43</v>
      </c>
      <c r="E539" s="70" t="s">
        <v>286</v>
      </c>
      <c r="F539" s="74">
        <v>0.49859999999999999</v>
      </c>
      <c r="G539" s="70" t="s">
        <v>286</v>
      </c>
      <c r="H539" s="74">
        <v>3.1899999999999998E-2</v>
      </c>
    </row>
    <row r="540" spans="1:8" ht="15.6">
      <c r="A540" s="468" t="s">
        <v>968</v>
      </c>
      <c r="B540" s="67">
        <v>3</v>
      </c>
      <c r="C540" s="69" t="s">
        <v>19</v>
      </c>
      <c r="D540" s="71" t="s">
        <v>18</v>
      </c>
      <c r="E540" s="70" t="s">
        <v>286</v>
      </c>
      <c r="F540" s="74">
        <v>0.47489999999999999</v>
      </c>
      <c r="G540" s="70" t="s">
        <v>286</v>
      </c>
      <c r="H540" s="74">
        <v>2.9899999999999999E-2</v>
      </c>
    </row>
    <row r="541" spans="1:8" ht="15.6">
      <c r="A541" s="468" t="s">
        <v>969</v>
      </c>
      <c r="B541" s="67">
        <v>4</v>
      </c>
      <c r="C541" s="69" t="s">
        <v>19</v>
      </c>
      <c r="D541" s="71" t="s">
        <v>76</v>
      </c>
      <c r="E541" s="70" t="s">
        <v>286</v>
      </c>
      <c r="F541" s="74">
        <v>0.49859999999999999</v>
      </c>
      <c r="G541" s="70" t="s">
        <v>286</v>
      </c>
      <c r="H541" s="74">
        <v>3.1899999999999998E-2</v>
      </c>
    </row>
    <row r="542" spans="1:8" ht="15.6">
      <c r="A542" s="468" t="s">
        <v>970</v>
      </c>
      <c r="B542" s="67">
        <v>5</v>
      </c>
      <c r="C542" s="69" t="s">
        <v>19</v>
      </c>
      <c r="D542" s="71" t="s">
        <v>19</v>
      </c>
      <c r="E542" s="70" t="s">
        <v>286</v>
      </c>
      <c r="F542" s="74">
        <v>0.13289999999999999</v>
      </c>
      <c r="G542" s="70" t="s">
        <v>286</v>
      </c>
      <c r="H542" s="74">
        <v>1.1000000000000001E-3</v>
      </c>
    </row>
    <row r="543" spans="1:8" ht="15.6">
      <c r="A543" s="468" t="s">
        <v>971</v>
      </c>
      <c r="B543" s="67">
        <v>6</v>
      </c>
      <c r="C543" s="69" t="s">
        <v>19</v>
      </c>
      <c r="D543" s="71" t="s">
        <v>23</v>
      </c>
      <c r="E543" s="70" t="s">
        <v>286</v>
      </c>
      <c r="F543" s="74">
        <v>0.2802</v>
      </c>
      <c r="G543" s="70" t="s">
        <v>286</v>
      </c>
      <c r="H543" s="74">
        <v>1.35E-2</v>
      </c>
    </row>
    <row r="544" spans="1:8" ht="15.6">
      <c r="A544" s="468" t="s">
        <v>972</v>
      </c>
      <c r="B544" s="67">
        <v>7</v>
      </c>
      <c r="C544" s="69" t="s">
        <v>19</v>
      </c>
      <c r="D544" s="71" t="s">
        <v>20</v>
      </c>
      <c r="E544" s="70" t="s">
        <v>286</v>
      </c>
      <c r="F544" s="74">
        <v>0.36599999999999999</v>
      </c>
      <c r="G544" s="70" t="s">
        <v>286</v>
      </c>
      <c r="H544" s="74">
        <v>2.07E-2</v>
      </c>
    </row>
    <row r="545" spans="1:8" ht="15.6">
      <c r="A545" s="468" t="s">
        <v>973</v>
      </c>
      <c r="B545" s="67">
        <v>8</v>
      </c>
      <c r="C545" s="69" t="s">
        <v>19</v>
      </c>
      <c r="D545" s="71" t="s">
        <v>53</v>
      </c>
      <c r="E545" s="70" t="s">
        <v>286</v>
      </c>
      <c r="F545" s="74">
        <v>0.67889999999999995</v>
      </c>
      <c r="G545" s="70" t="s">
        <v>286</v>
      </c>
      <c r="H545" s="74">
        <v>4.7E-2</v>
      </c>
    </row>
    <row r="546" spans="1:8" ht="15.6">
      <c r="A546" s="468" t="s">
        <v>974</v>
      </c>
      <c r="B546" s="67">
        <v>9</v>
      </c>
      <c r="C546" s="69" t="s">
        <v>19</v>
      </c>
      <c r="D546" s="71" t="s">
        <v>41</v>
      </c>
      <c r="E546" s="70" t="s">
        <v>286</v>
      </c>
      <c r="F546" s="74">
        <v>0.68179999999999996</v>
      </c>
      <c r="G546" s="70" t="s">
        <v>286</v>
      </c>
      <c r="H546" s="74">
        <v>4.7300000000000002E-2</v>
      </c>
    </row>
    <row r="547" spans="1:8" ht="15.6">
      <c r="A547" s="468" t="s">
        <v>975</v>
      </c>
      <c r="B547" s="67">
        <v>10</v>
      </c>
      <c r="C547" s="69" t="s">
        <v>19</v>
      </c>
      <c r="D547" s="71" t="s">
        <v>36</v>
      </c>
      <c r="E547" s="70" t="s">
        <v>286</v>
      </c>
      <c r="F547" s="74">
        <v>0.60599999999999998</v>
      </c>
      <c r="G547" s="70" t="s">
        <v>286</v>
      </c>
      <c r="H547" s="74">
        <v>4.0899999999999999E-2</v>
      </c>
    </row>
    <row r="548" spans="1:8" ht="15.6">
      <c r="A548" s="468" t="s">
        <v>976</v>
      </c>
      <c r="B548" s="67">
        <v>11</v>
      </c>
      <c r="C548" s="69" t="s">
        <v>19</v>
      </c>
      <c r="D548" s="71" t="s">
        <v>15</v>
      </c>
      <c r="E548" s="70" t="s">
        <v>286</v>
      </c>
      <c r="F548" s="74">
        <v>0.23280000000000001</v>
      </c>
      <c r="G548" s="70" t="s">
        <v>286</v>
      </c>
      <c r="H548" s="74">
        <v>9.4999999999999998E-3</v>
      </c>
    </row>
    <row r="549" spans="1:8" ht="15.6">
      <c r="A549" s="468" t="s">
        <v>977</v>
      </c>
      <c r="B549" s="67">
        <v>12</v>
      </c>
      <c r="C549" s="69" t="s">
        <v>19</v>
      </c>
      <c r="D549" s="71" t="s">
        <v>16</v>
      </c>
      <c r="E549" s="70" t="s">
        <v>286</v>
      </c>
      <c r="F549" s="74">
        <v>0.51500000000000001</v>
      </c>
      <c r="G549" s="70" t="s">
        <v>286</v>
      </c>
      <c r="H549" s="74">
        <v>3.32E-2</v>
      </c>
    </row>
    <row r="550" spans="1:8" ht="15.6">
      <c r="A550" s="468" t="s">
        <v>978</v>
      </c>
      <c r="B550" s="67">
        <v>13</v>
      </c>
      <c r="C550" s="69" t="s">
        <v>19</v>
      </c>
      <c r="D550" s="71" t="s">
        <v>17</v>
      </c>
      <c r="E550" s="70" t="s">
        <v>286</v>
      </c>
      <c r="F550" s="74">
        <v>1.8149999999999999</v>
      </c>
      <c r="G550" s="70" t="s">
        <v>286</v>
      </c>
      <c r="H550" s="74">
        <v>0.14269999999999999</v>
      </c>
    </row>
    <row r="551" spans="1:8" ht="15.6">
      <c r="A551" s="468" t="s">
        <v>979</v>
      </c>
      <c r="B551" s="67">
        <v>14</v>
      </c>
      <c r="C551" s="69" t="s">
        <v>19</v>
      </c>
      <c r="D551" s="71" t="s">
        <v>10</v>
      </c>
      <c r="E551" s="70" t="s">
        <v>286</v>
      </c>
      <c r="F551" s="74">
        <v>1.8149999999999999</v>
      </c>
      <c r="G551" s="70" t="s">
        <v>286</v>
      </c>
      <c r="H551" s="74">
        <v>0.14269999999999999</v>
      </c>
    </row>
    <row r="552" spans="1:8" ht="15.6">
      <c r="A552" s="468" t="s">
        <v>980</v>
      </c>
      <c r="B552" s="67">
        <v>15</v>
      </c>
      <c r="C552" s="69" t="s">
        <v>19</v>
      </c>
      <c r="D552" s="71" t="s">
        <v>22</v>
      </c>
      <c r="E552" s="70" t="s">
        <v>286</v>
      </c>
      <c r="F552" s="74">
        <v>0.21129999999999999</v>
      </c>
      <c r="G552" s="70" t="s">
        <v>286</v>
      </c>
      <c r="H552" s="74">
        <v>7.7000000000000002E-3</v>
      </c>
    </row>
    <row r="553" spans="1:8" ht="15.6">
      <c r="A553" s="468" t="s">
        <v>981</v>
      </c>
      <c r="B553" s="67">
        <v>16</v>
      </c>
      <c r="C553" s="69" t="s">
        <v>19</v>
      </c>
      <c r="D553" s="71" t="s">
        <v>35</v>
      </c>
      <c r="E553" s="70" t="s">
        <v>286</v>
      </c>
      <c r="F553" s="74">
        <v>0.52900000000000003</v>
      </c>
      <c r="G553" s="70" t="s">
        <v>286</v>
      </c>
      <c r="H553" s="74">
        <v>3.44E-2</v>
      </c>
    </row>
    <row r="554" spans="1:8" ht="15.6">
      <c r="A554" s="468" t="s">
        <v>982</v>
      </c>
      <c r="B554" s="67">
        <v>17</v>
      </c>
      <c r="C554" s="69" t="s">
        <v>19</v>
      </c>
      <c r="D554" s="71" t="s">
        <v>24</v>
      </c>
      <c r="E554" s="70" t="s">
        <v>286</v>
      </c>
      <c r="F554" s="74">
        <v>0.35399999999999998</v>
      </c>
      <c r="G554" s="70" t="s">
        <v>286</v>
      </c>
      <c r="H554" s="74">
        <v>1.9699999999999999E-2</v>
      </c>
    </row>
    <row r="555" spans="1:8" ht="15.6">
      <c r="A555" s="468" t="s">
        <v>983</v>
      </c>
      <c r="B555" s="67">
        <v>18</v>
      </c>
      <c r="C555" s="69" t="s">
        <v>19</v>
      </c>
      <c r="D555" s="71" t="s">
        <v>37</v>
      </c>
      <c r="E555" s="70" t="s">
        <v>286</v>
      </c>
      <c r="F555" s="74">
        <v>0.60409999999999997</v>
      </c>
      <c r="G555" s="70" t="s">
        <v>286</v>
      </c>
      <c r="H555" s="74">
        <v>4.07E-2</v>
      </c>
    </row>
    <row r="556" spans="1:8" ht="15.6">
      <c r="A556" s="468" t="s">
        <v>984</v>
      </c>
      <c r="B556" s="67">
        <v>19</v>
      </c>
      <c r="C556" s="69" t="s">
        <v>19</v>
      </c>
      <c r="D556" s="71" t="s">
        <v>38</v>
      </c>
      <c r="E556" s="70" t="s">
        <v>286</v>
      </c>
      <c r="F556" s="74">
        <v>0.45960000000000001</v>
      </c>
      <c r="G556" s="70" t="s">
        <v>286</v>
      </c>
      <c r="H556" s="74">
        <v>2.86E-2</v>
      </c>
    </row>
    <row r="557" spans="1:8" ht="15.6">
      <c r="A557" s="468" t="s">
        <v>985</v>
      </c>
      <c r="B557" s="67">
        <v>20</v>
      </c>
      <c r="C557" s="69" t="s">
        <v>19</v>
      </c>
      <c r="D557" s="71" t="s">
        <v>26</v>
      </c>
      <c r="E557" s="70" t="s">
        <v>286</v>
      </c>
      <c r="F557" s="74">
        <v>0.36780000000000002</v>
      </c>
      <c r="G557" s="70" t="s">
        <v>286</v>
      </c>
      <c r="H557" s="74">
        <v>2.0899999999999998E-2</v>
      </c>
    </row>
    <row r="558" spans="1:8" ht="15.6">
      <c r="A558" s="468" t="s">
        <v>986</v>
      </c>
      <c r="B558" s="67">
        <v>21</v>
      </c>
      <c r="C558" s="69" t="s">
        <v>19</v>
      </c>
      <c r="D558" s="71" t="s">
        <v>52</v>
      </c>
      <c r="E558" s="70" t="s">
        <v>286</v>
      </c>
      <c r="F558" s="74">
        <v>1.7151000000000001</v>
      </c>
      <c r="G558" s="70" t="s">
        <v>286</v>
      </c>
      <c r="H558" s="74">
        <v>0.1343</v>
      </c>
    </row>
    <row r="559" spans="1:8" ht="15.6">
      <c r="A559" s="468" t="s">
        <v>987</v>
      </c>
      <c r="B559" s="67">
        <v>22</v>
      </c>
      <c r="C559" s="69" t="s">
        <v>19</v>
      </c>
      <c r="D559" s="71" t="s">
        <v>40</v>
      </c>
      <c r="E559" s="70" t="s">
        <v>286</v>
      </c>
      <c r="F559" s="74">
        <v>0.69789999999999996</v>
      </c>
      <c r="G559" s="70" t="s">
        <v>286</v>
      </c>
      <c r="H559" s="74">
        <v>4.8599999999999997E-2</v>
      </c>
    </row>
    <row r="560" spans="1:8" ht="15.6">
      <c r="A560" s="468" t="s">
        <v>988</v>
      </c>
      <c r="B560" s="67">
        <v>23</v>
      </c>
      <c r="C560" s="69" t="s">
        <v>19</v>
      </c>
      <c r="D560" s="71" t="s">
        <v>34</v>
      </c>
      <c r="E560" s="70" t="s">
        <v>286</v>
      </c>
      <c r="F560" s="74">
        <v>2.0249999999999999</v>
      </c>
      <c r="G560" s="70" t="s">
        <v>286</v>
      </c>
      <c r="H560" s="74">
        <v>0.16039999999999999</v>
      </c>
    </row>
    <row r="561" spans="1:8" ht="15.6">
      <c r="A561" s="468" t="s">
        <v>989</v>
      </c>
      <c r="B561" s="67">
        <v>24</v>
      </c>
      <c r="C561" s="69" t="s">
        <v>19</v>
      </c>
      <c r="D561" s="71" t="s">
        <v>54</v>
      </c>
      <c r="E561" s="70" t="s">
        <v>286</v>
      </c>
      <c r="F561" s="74">
        <v>0.67889999999999995</v>
      </c>
      <c r="G561" s="70" t="s">
        <v>286</v>
      </c>
      <c r="H561" s="74">
        <v>4.7E-2</v>
      </c>
    </row>
    <row r="562" spans="1:8" ht="15.6">
      <c r="A562" s="468" t="s">
        <v>990</v>
      </c>
      <c r="B562" s="67">
        <v>25</v>
      </c>
      <c r="C562" s="69" t="s">
        <v>20</v>
      </c>
      <c r="D562" s="71" t="s">
        <v>12</v>
      </c>
      <c r="E562" s="70" t="s">
        <v>286</v>
      </c>
      <c r="F562" s="74">
        <v>2.6882999999999999</v>
      </c>
      <c r="G562" s="70" t="s">
        <v>286</v>
      </c>
      <c r="H562" s="74">
        <v>0.2162</v>
      </c>
    </row>
    <row r="563" spans="1:8" ht="15.6">
      <c r="A563" s="468" t="s">
        <v>991</v>
      </c>
      <c r="B563" s="67">
        <v>26</v>
      </c>
      <c r="C563" s="69" t="s">
        <v>20</v>
      </c>
      <c r="D563" s="71" t="s">
        <v>51</v>
      </c>
      <c r="E563" s="70" t="s">
        <v>286</v>
      </c>
      <c r="F563" s="74">
        <v>2.3433999999999999</v>
      </c>
      <c r="G563" s="70" t="s">
        <v>286</v>
      </c>
      <c r="H563" s="74">
        <v>0.18720000000000001</v>
      </c>
    </row>
    <row r="564" spans="1:8" ht="15.6">
      <c r="A564" s="468" t="s">
        <v>992</v>
      </c>
      <c r="B564" s="67">
        <v>27</v>
      </c>
      <c r="C564" s="69" t="s">
        <v>20</v>
      </c>
      <c r="D564" s="71" t="s">
        <v>13</v>
      </c>
      <c r="E564" s="70" t="s">
        <v>286</v>
      </c>
      <c r="F564" s="74">
        <v>2.2021999999999999</v>
      </c>
      <c r="G564" s="70" t="s">
        <v>286</v>
      </c>
      <c r="H564" s="74">
        <v>0.17530000000000001</v>
      </c>
    </row>
    <row r="565" spans="1:8" ht="15.6">
      <c r="A565" s="468" t="s">
        <v>993</v>
      </c>
      <c r="B565" s="67">
        <v>28</v>
      </c>
      <c r="C565" s="69" t="s">
        <v>20</v>
      </c>
      <c r="D565" s="71" t="s">
        <v>9</v>
      </c>
      <c r="E565" s="70" t="s">
        <v>286</v>
      </c>
      <c r="F565" s="74">
        <v>1.9896</v>
      </c>
      <c r="G565" s="70" t="s">
        <v>286</v>
      </c>
      <c r="H565" s="74">
        <v>0.15740000000000001</v>
      </c>
    </row>
    <row r="566" spans="1:8" ht="15.6">
      <c r="A566" s="468" t="s">
        <v>994</v>
      </c>
      <c r="B566" s="67">
        <v>29</v>
      </c>
      <c r="C566" s="69" t="s">
        <v>20</v>
      </c>
      <c r="D566" s="71" t="s">
        <v>14</v>
      </c>
      <c r="E566" s="70" t="s">
        <v>286</v>
      </c>
      <c r="F566" s="74">
        <v>1.8915999999999999</v>
      </c>
      <c r="G566" s="70" t="s">
        <v>286</v>
      </c>
      <c r="H566" s="74">
        <v>0.14910000000000001</v>
      </c>
    </row>
    <row r="567" spans="1:8" ht="15.6">
      <c r="A567" s="468" t="s">
        <v>995</v>
      </c>
      <c r="B567" s="67">
        <v>30</v>
      </c>
      <c r="C567" s="69" t="s">
        <v>20</v>
      </c>
      <c r="D567" s="71" t="s">
        <v>33</v>
      </c>
      <c r="E567" s="70" t="s">
        <v>286</v>
      </c>
      <c r="F567" s="74">
        <v>1.5233000000000001</v>
      </c>
      <c r="G567" s="70" t="s">
        <v>286</v>
      </c>
      <c r="H567" s="74">
        <v>0.1181</v>
      </c>
    </row>
    <row r="568" spans="1:8" ht="15.6">
      <c r="A568" s="468" t="s">
        <v>996</v>
      </c>
      <c r="B568" s="67">
        <v>31</v>
      </c>
      <c r="C568" s="69" t="s">
        <v>20</v>
      </c>
      <c r="D568" s="71" t="s">
        <v>25</v>
      </c>
      <c r="E568" s="70" t="s">
        <v>286</v>
      </c>
      <c r="F568" s="74">
        <v>1.3721000000000001</v>
      </c>
      <c r="G568" s="70" t="s">
        <v>286</v>
      </c>
      <c r="H568" s="74">
        <v>0.10539999999999999</v>
      </c>
    </row>
    <row r="569" spans="1:8" ht="15.6">
      <c r="A569" s="468" t="s">
        <v>997</v>
      </c>
      <c r="B569" s="67">
        <v>32</v>
      </c>
      <c r="C569" s="69" t="s">
        <v>20</v>
      </c>
      <c r="D569" s="71" t="s">
        <v>31</v>
      </c>
      <c r="E569" s="70" t="s">
        <v>286</v>
      </c>
      <c r="F569" s="74">
        <v>0.7742</v>
      </c>
      <c r="G569" s="70" t="s">
        <v>286</v>
      </c>
      <c r="H569" s="74">
        <v>5.5100000000000003E-2</v>
      </c>
    </row>
    <row r="570" spans="1:8" ht="15.6">
      <c r="A570" s="468" t="s">
        <v>998</v>
      </c>
      <c r="B570" s="67">
        <v>33</v>
      </c>
      <c r="C570" s="69" t="s">
        <v>20</v>
      </c>
      <c r="D570" s="71" t="s">
        <v>45</v>
      </c>
      <c r="E570" s="70" t="s">
        <v>286</v>
      </c>
      <c r="F570" s="74">
        <v>1.1092</v>
      </c>
      <c r="G570" s="70" t="s">
        <v>286</v>
      </c>
      <c r="H570" s="74">
        <v>8.3299999999999999E-2</v>
      </c>
    </row>
    <row r="571" spans="1:8" ht="15.6">
      <c r="A571" s="468" t="s">
        <v>999</v>
      </c>
      <c r="B571" s="67">
        <v>34</v>
      </c>
      <c r="C571" s="69" t="s">
        <v>20</v>
      </c>
      <c r="D571" s="71" t="s">
        <v>27</v>
      </c>
      <c r="E571" s="70" t="s">
        <v>286</v>
      </c>
      <c r="F571" s="74">
        <v>0.9022</v>
      </c>
      <c r="G571" s="70" t="s">
        <v>286</v>
      </c>
      <c r="H571" s="74">
        <v>6.5799999999999997E-2</v>
      </c>
    </row>
    <row r="572" spans="1:8" ht="15.6">
      <c r="A572" s="468" t="s">
        <v>1000</v>
      </c>
      <c r="B572" s="67">
        <v>35</v>
      </c>
      <c r="C572" s="69" t="s">
        <v>20</v>
      </c>
      <c r="D572" s="71" t="s">
        <v>21</v>
      </c>
      <c r="E572" s="70" t="s">
        <v>286</v>
      </c>
      <c r="F572" s="74">
        <v>0.74829999999999997</v>
      </c>
      <c r="G572" s="70" t="s">
        <v>286</v>
      </c>
      <c r="H572" s="74">
        <v>5.2900000000000003E-2</v>
      </c>
    </row>
    <row r="573" spans="1:8" ht="15.6">
      <c r="A573" s="468" t="s">
        <v>1001</v>
      </c>
      <c r="B573" s="67">
        <v>36</v>
      </c>
      <c r="C573" s="69" t="s">
        <v>20</v>
      </c>
      <c r="D573" s="71" t="s">
        <v>32</v>
      </c>
      <c r="E573" s="70" t="s">
        <v>286</v>
      </c>
      <c r="F573" s="74">
        <v>1.3043</v>
      </c>
      <c r="G573" s="70" t="s">
        <v>286</v>
      </c>
      <c r="H573" s="74">
        <v>9.9699999999999997E-2</v>
      </c>
    </row>
    <row r="574" spans="1:8" ht="15.6">
      <c r="A574" s="468" t="s">
        <v>1002</v>
      </c>
      <c r="B574" s="67">
        <v>37</v>
      </c>
      <c r="C574" s="69" t="s">
        <v>20</v>
      </c>
      <c r="D574" s="71" t="s">
        <v>30</v>
      </c>
      <c r="E574" s="70" t="s">
        <v>286</v>
      </c>
      <c r="F574" s="74">
        <v>0.70269999999999999</v>
      </c>
      <c r="G574" s="70" t="s">
        <v>286</v>
      </c>
      <c r="H574" s="74">
        <v>4.9000000000000002E-2</v>
      </c>
    </row>
    <row r="575" spans="1:8" ht="15.6">
      <c r="A575" s="468" t="s">
        <v>1003</v>
      </c>
      <c r="B575" s="67">
        <v>38</v>
      </c>
      <c r="C575" s="69" t="s">
        <v>20</v>
      </c>
      <c r="D575" s="71" t="s">
        <v>28</v>
      </c>
      <c r="E575" s="70" t="s">
        <v>286</v>
      </c>
      <c r="F575" s="74">
        <v>0.68879999999999997</v>
      </c>
      <c r="G575" s="70" t="s">
        <v>286</v>
      </c>
      <c r="H575" s="74">
        <v>4.7899999999999998E-2</v>
      </c>
    </row>
    <row r="576" spans="1:8" ht="15.6">
      <c r="A576" s="468" t="s">
        <v>1004</v>
      </c>
      <c r="B576" s="67">
        <v>39</v>
      </c>
      <c r="C576" s="69" t="s">
        <v>20</v>
      </c>
      <c r="D576" s="71" t="s">
        <v>79</v>
      </c>
      <c r="E576" s="70" t="s">
        <v>286</v>
      </c>
      <c r="F576" s="74">
        <v>0.64939999999999998</v>
      </c>
      <c r="G576" s="70" t="s">
        <v>286</v>
      </c>
      <c r="H576" s="74">
        <v>4.4600000000000001E-2</v>
      </c>
    </row>
    <row r="577" spans="1:8" ht="15.6">
      <c r="A577" s="468" t="s">
        <v>1005</v>
      </c>
      <c r="B577" s="67">
        <v>40</v>
      </c>
      <c r="C577" s="69" t="s">
        <v>20</v>
      </c>
      <c r="D577" s="71" t="s">
        <v>29</v>
      </c>
      <c r="E577" s="70" t="s">
        <v>286</v>
      </c>
      <c r="F577" s="74">
        <v>0.38479999999999998</v>
      </c>
      <c r="G577" s="70" t="s">
        <v>286</v>
      </c>
      <c r="H577" s="74">
        <v>2.23E-2</v>
      </c>
    </row>
    <row r="578" spans="1:8" ht="15.6">
      <c r="A578" s="468" t="s">
        <v>1006</v>
      </c>
      <c r="B578" s="67">
        <v>41</v>
      </c>
      <c r="C578" s="69" t="s">
        <v>20</v>
      </c>
      <c r="D578" s="71" t="s">
        <v>43</v>
      </c>
      <c r="E578" s="70" t="s">
        <v>286</v>
      </c>
      <c r="F578" s="74">
        <v>0.64029999999999998</v>
      </c>
      <c r="G578" s="70" t="s">
        <v>286</v>
      </c>
      <c r="H578" s="74">
        <v>4.3799999999999999E-2</v>
      </c>
    </row>
    <row r="579" spans="1:8" ht="15.6">
      <c r="A579" s="468" t="s">
        <v>1007</v>
      </c>
      <c r="B579" s="67">
        <v>42</v>
      </c>
      <c r="C579" s="69" t="s">
        <v>20</v>
      </c>
      <c r="D579" s="71" t="s">
        <v>18</v>
      </c>
      <c r="E579" s="70" t="s">
        <v>286</v>
      </c>
      <c r="F579" s="74">
        <v>0.61650000000000005</v>
      </c>
      <c r="G579" s="70" t="s">
        <v>286</v>
      </c>
      <c r="H579" s="74">
        <v>4.1799999999999997E-2</v>
      </c>
    </row>
    <row r="580" spans="1:8" ht="15.6">
      <c r="A580" s="468" t="s">
        <v>1008</v>
      </c>
      <c r="B580" s="67">
        <v>43</v>
      </c>
      <c r="C580" s="69" t="s">
        <v>20</v>
      </c>
      <c r="D580" s="71" t="s">
        <v>76</v>
      </c>
      <c r="E580" s="70" t="s">
        <v>286</v>
      </c>
      <c r="F580" s="74">
        <v>0.64029999999999998</v>
      </c>
      <c r="G580" s="70" t="s">
        <v>286</v>
      </c>
      <c r="H580" s="74">
        <v>4.3799999999999999E-2</v>
      </c>
    </row>
    <row r="581" spans="1:8" ht="15.6">
      <c r="A581" s="468" t="s">
        <v>1009</v>
      </c>
      <c r="B581" s="67">
        <v>44</v>
      </c>
      <c r="C581" s="69" t="s">
        <v>20</v>
      </c>
      <c r="D581" s="71" t="s">
        <v>19</v>
      </c>
      <c r="E581" s="70" t="s">
        <v>286</v>
      </c>
      <c r="F581" s="74">
        <v>0.36599999999999999</v>
      </c>
      <c r="G581" s="70" t="s">
        <v>286</v>
      </c>
      <c r="H581" s="74">
        <v>2.07E-2</v>
      </c>
    </row>
    <row r="582" spans="1:8" ht="15.6">
      <c r="A582" s="468" t="s">
        <v>1010</v>
      </c>
      <c r="B582" s="67">
        <v>45</v>
      </c>
      <c r="C582" s="69" t="s">
        <v>20</v>
      </c>
      <c r="D582" s="71" t="s">
        <v>23</v>
      </c>
      <c r="E582" s="70" t="s">
        <v>286</v>
      </c>
      <c r="F582" s="74">
        <v>0.3987</v>
      </c>
      <c r="G582" s="70" t="s">
        <v>286</v>
      </c>
      <c r="H582" s="74">
        <v>2.35E-2</v>
      </c>
    </row>
    <row r="583" spans="1:8" ht="15.6">
      <c r="A583" s="468" t="s">
        <v>1011</v>
      </c>
      <c r="B583" s="67">
        <v>46</v>
      </c>
      <c r="C583" s="69" t="s">
        <v>20</v>
      </c>
      <c r="D583" s="71" t="s">
        <v>20</v>
      </c>
      <c r="E583" s="70" t="s">
        <v>286</v>
      </c>
      <c r="F583" s="74">
        <v>0.13289999999999999</v>
      </c>
      <c r="G583" s="70" t="s">
        <v>286</v>
      </c>
      <c r="H583" s="74">
        <v>1.1000000000000001E-3</v>
      </c>
    </row>
    <row r="584" spans="1:8" ht="15.6">
      <c r="A584" s="468" t="s">
        <v>1012</v>
      </c>
      <c r="B584" s="67">
        <v>47</v>
      </c>
      <c r="C584" s="69" t="s">
        <v>20</v>
      </c>
      <c r="D584" s="71" t="s">
        <v>53</v>
      </c>
      <c r="E584" s="70" t="s">
        <v>286</v>
      </c>
      <c r="F584" s="74">
        <v>0.8206</v>
      </c>
      <c r="G584" s="70" t="s">
        <v>286</v>
      </c>
      <c r="H584" s="74">
        <v>5.8999999999999997E-2</v>
      </c>
    </row>
    <row r="585" spans="1:8" ht="15.6">
      <c r="A585" s="468" t="s">
        <v>1013</v>
      </c>
      <c r="B585" s="67">
        <v>48</v>
      </c>
      <c r="C585" s="69" t="s">
        <v>20</v>
      </c>
      <c r="D585" s="71" t="s">
        <v>41</v>
      </c>
      <c r="E585" s="70" t="s">
        <v>286</v>
      </c>
      <c r="F585" s="74">
        <v>0.82350000000000001</v>
      </c>
      <c r="G585" s="70" t="s">
        <v>286</v>
      </c>
      <c r="H585" s="74">
        <v>5.9200000000000003E-2</v>
      </c>
    </row>
    <row r="586" spans="1:8" ht="15.6">
      <c r="A586" s="468" t="s">
        <v>1014</v>
      </c>
      <c r="B586" s="67">
        <v>49</v>
      </c>
      <c r="C586" s="69" t="s">
        <v>20</v>
      </c>
      <c r="D586" s="71" t="s">
        <v>36</v>
      </c>
      <c r="E586" s="70" t="s">
        <v>286</v>
      </c>
      <c r="F586" s="74">
        <v>0.74760000000000004</v>
      </c>
      <c r="G586" s="70" t="s">
        <v>286</v>
      </c>
      <c r="H586" s="74">
        <v>5.28E-2</v>
      </c>
    </row>
    <row r="587" spans="1:8" ht="15.6">
      <c r="A587" s="468" t="s">
        <v>1015</v>
      </c>
      <c r="B587" s="67">
        <v>50</v>
      </c>
      <c r="C587" s="69" t="s">
        <v>20</v>
      </c>
      <c r="D587" s="71" t="s">
        <v>15</v>
      </c>
      <c r="E587" s="70" t="s">
        <v>286</v>
      </c>
      <c r="F587" s="74">
        <v>0.26719999999999999</v>
      </c>
      <c r="G587" s="70" t="s">
        <v>286</v>
      </c>
      <c r="H587" s="74">
        <v>1.24E-2</v>
      </c>
    </row>
    <row r="588" spans="1:8" ht="15.6">
      <c r="A588" s="468" t="s">
        <v>1016</v>
      </c>
      <c r="B588" s="67">
        <v>51</v>
      </c>
      <c r="C588" s="69" t="s">
        <v>20</v>
      </c>
      <c r="D588" s="71" t="s">
        <v>16</v>
      </c>
      <c r="E588" s="70" t="s">
        <v>286</v>
      </c>
      <c r="F588" s="74">
        <v>0.37109999999999999</v>
      </c>
      <c r="G588" s="70" t="s">
        <v>286</v>
      </c>
      <c r="H588" s="74">
        <v>2.1100000000000001E-2</v>
      </c>
    </row>
    <row r="589" spans="1:8" ht="15.6">
      <c r="A589" s="468" t="s">
        <v>1017</v>
      </c>
      <c r="B589" s="67">
        <v>52</v>
      </c>
      <c r="C589" s="69" t="s">
        <v>20</v>
      </c>
      <c r="D589" s="71" t="s">
        <v>17</v>
      </c>
      <c r="E589" s="70" t="s">
        <v>286</v>
      </c>
      <c r="F589" s="74">
        <v>2.0045000000000002</v>
      </c>
      <c r="G589" s="70" t="s">
        <v>286</v>
      </c>
      <c r="H589" s="74">
        <v>0.15859999999999999</v>
      </c>
    </row>
    <row r="590" spans="1:8" ht="15.6">
      <c r="A590" s="468" t="s">
        <v>1018</v>
      </c>
      <c r="B590" s="67">
        <v>53</v>
      </c>
      <c r="C590" s="69" t="s">
        <v>20</v>
      </c>
      <c r="D590" s="71" t="s">
        <v>10</v>
      </c>
      <c r="E590" s="70" t="s">
        <v>286</v>
      </c>
      <c r="F590" s="74">
        <v>2.0045000000000002</v>
      </c>
      <c r="G590" s="70" t="s">
        <v>286</v>
      </c>
      <c r="H590" s="74">
        <v>0.15859999999999999</v>
      </c>
    </row>
    <row r="591" spans="1:8" ht="15.6">
      <c r="A591" s="468" t="s">
        <v>1019</v>
      </c>
      <c r="B591" s="67">
        <v>54</v>
      </c>
      <c r="C591" s="69" t="s">
        <v>20</v>
      </c>
      <c r="D591" s="71" t="s">
        <v>22</v>
      </c>
      <c r="E591" s="70" t="s">
        <v>286</v>
      </c>
      <c r="F591" s="74">
        <v>0.30830000000000002</v>
      </c>
      <c r="G591" s="70" t="s">
        <v>286</v>
      </c>
      <c r="H591" s="74">
        <v>1.5800000000000002E-2</v>
      </c>
    </row>
    <row r="592" spans="1:8" ht="15.6">
      <c r="A592" s="468" t="s">
        <v>1020</v>
      </c>
      <c r="B592" s="67">
        <v>55</v>
      </c>
      <c r="C592" s="69" t="s">
        <v>20</v>
      </c>
      <c r="D592" s="71" t="s">
        <v>35</v>
      </c>
      <c r="E592" s="70" t="s">
        <v>286</v>
      </c>
      <c r="F592" s="74">
        <v>0.67059999999999997</v>
      </c>
      <c r="G592" s="70" t="s">
        <v>286</v>
      </c>
      <c r="H592" s="74">
        <v>4.6300000000000001E-2</v>
      </c>
    </row>
    <row r="593" spans="1:8" ht="15.6">
      <c r="A593" s="468" t="s">
        <v>1021</v>
      </c>
      <c r="B593" s="67">
        <v>56</v>
      </c>
      <c r="C593" s="69" t="s">
        <v>20</v>
      </c>
      <c r="D593" s="71" t="s">
        <v>24</v>
      </c>
      <c r="E593" s="70" t="s">
        <v>286</v>
      </c>
      <c r="F593" s="74">
        <v>0.27629999999999999</v>
      </c>
      <c r="G593" s="70" t="s">
        <v>286</v>
      </c>
      <c r="H593" s="74">
        <v>1.3100000000000001E-2</v>
      </c>
    </row>
    <row r="594" spans="1:8" ht="15.6">
      <c r="A594" s="468" t="s">
        <v>1022</v>
      </c>
      <c r="B594" s="67">
        <v>57</v>
      </c>
      <c r="C594" s="69" t="s">
        <v>20</v>
      </c>
      <c r="D594" s="71" t="s">
        <v>37</v>
      </c>
      <c r="E594" s="70" t="s">
        <v>286</v>
      </c>
      <c r="F594" s="74">
        <v>0.74580000000000002</v>
      </c>
      <c r="G594" s="70" t="s">
        <v>286</v>
      </c>
      <c r="H594" s="74">
        <v>5.2699999999999997E-2</v>
      </c>
    </row>
    <row r="595" spans="1:8" ht="15.6">
      <c r="A595" s="468" t="s">
        <v>1023</v>
      </c>
      <c r="B595" s="67">
        <v>58</v>
      </c>
      <c r="C595" s="69" t="s">
        <v>20</v>
      </c>
      <c r="D595" s="71" t="s">
        <v>38</v>
      </c>
      <c r="E595" s="70" t="s">
        <v>286</v>
      </c>
      <c r="F595" s="74">
        <v>0.63619999999999999</v>
      </c>
      <c r="G595" s="70" t="s">
        <v>286</v>
      </c>
      <c r="H595" s="74">
        <v>4.3400000000000001E-2</v>
      </c>
    </row>
    <row r="596" spans="1:8" ht="15.6">
      <c r="A596" s="468" t="s">
        <v>1024</v>
      </c>
      <c r="B596" s="67">
        <v>59</v>
      </c>
      <c r="C596" s="69" t="s">
        <v>20</v>
      </c>
      <c r="D596" s="71" t="s">
        <v>26</v>
      </c>
      <c r="E596" s="70" t="s">
        <v>286</v>
      </c>
      <c r="F596" s="74">
        <v>0.28810000000000002</v>
      </c>
      <c r="G596" s="70" t="s">
        <v>286</v>
      </c>
      <c r="H596" s="74">
        <v>1.41E-2</v>
      </c>
    </row>
    <row r="597" spans="1:8" ht="15.6">
      <c r="A597" s="468" t="s">
        <v>1025</v>
      </c>
      <c r="B597" s="67">
        <v>60</v>
      </c>
      <c r="C597" s="69" t="s">
        <v>20</v>
      </c>
      <c r="D597" s="71" t="s">
        <v>52</v>
      </c>
      <c r="E597" s="70" t="s">
        <v>286</v>
      </c>
      <c r="F597" s="74">
        <v>1.8915999999999999</v>
      </c>
      <c r="G597" s="70" t="s">
        <v>286</v>
      </c>
      <c r="H597" s="74">
        <v>0.14910000000000001</v>
      </c>
    </row>
    <row r="598" spans="1:8" ht="15.6">
      <c r="A598" s="468" t="s">
        <v>1026</v>
      </c>
      <c r="B598" s="67">
        <v>61</v>
      </c>
      <c r="C598" s="69" t="s">
        <v>20</v>
      </c>
      <c r="D598" s="71" t="s">
        <v>40</v>
      </c>
      <c r="E598" s="70" t="s">
        <v>286</v>
      </c>
      <c r="F598" s="74">
        <v>0.83960000000000001</v>
      </c>
      <c r="G598" s="70" t="s">
        <v>286</v>
      </c>
      <c r="H598" s="74">
        <v>6.0600000000000001E-2</v>
      </c>
    </row>
    <row r="599" spans="1:8" ht="15.6">
      <c r="A599" s="468" t="s">
        <v>1027</v>
      </c>
      <c r="B599" s="67">
        <v>62</v>
      </c>
      <c r="C599" s="69" t="s">
        <v>20</v>
      </c>
      <c r="D599" s="71" t="s">
        <v>34</v>
      </c>
      <c r="E599" s="70" t="s">
        <v>286</v>
      </c>
      <c r="F599" s="74">
        <v>2.2021999999999999</v>
      </c>
      <c r="G599" s="70" t="s">
        <v>286</v>
      </c>
      <c r="H599" s="74">
        <v>0.17530000000000001</v>
      </c>
    </row>
    <row r="600" spans="1:8" ht="15.6">
      <c r="A600" s="468" t="s">
        <v>1028</v>
      </c>
      <c r="B600" s="67">
        <v>63</v>
      </c>
      <c r="C600" s="69" t="s">
        <v>20</v>
      </c>
      <c r="D600" s="71" t="s">
        <v>54</v>
      </c>
      <c r="E600" s="70" t="s">
        <v>286</v>
      </c>
      <c r="F600" s="74">
        <v>0.8206</v>
      </c>
      <c r="G600" s="70" t="s">
        <v>286</v>
      </c>
      <c r="H600" s="74">
        <v>5.8999999999999997E-2</v>
      </c>
    </row>
    <row r="601" spans="1:8" ht="15.6">
      <c r="A601" s="468" t="s">
        <v>1029</v>
      </c>
      <c r="B601" s="67">
        <v>64</v>
      </c>
      <c r="C601" s="69" t="s">
        <v>21</v>
      </c>
      <c r="D601" s="71" t="s">
        <v>12</v>
      </c>
      <c r="E601" s="70" t="s">
        <v>286</v>
      </c>
      <c r="F601" s="74">
        <v>1.4581</v>
      </c>
      <c r="G601" s="70" t="s">
        <v>286</v>
      </c>
      <c r="H601" s="74">
        <v>0.1658</v>
      </c>
    </row>
    <row r="602" spans="1:8" ht="15.6">
      <c r="A602" s="468" t="s">
        <v>1030</v>
      </c>
      <c r="B602" s="67">
        <v>65</v>
      </c>
      <c r="C602" s="69" t="s">
        <v>21</v>
      </c>
      <c r="D602" s="71" t="s">
        <v>51</v>
      </c>
      <c r="E602" s="70" t="s">
        <v>286</v>
      </c>
      <c r="F602" s="74">
        <v>1.2174</v>
      </c>
      <c r="G602" s="70" t="s">
        <v>286</v>
      </c>
      <c r="H602" s="74">
        <v>0.1368</v>
      </c>
    </row>
    <row r="603" spans="1:8" ht="15.6">
      <c r="A603" s="468" t="s">
        <v>1031</v>
      </c>
      <c r="B603" s="67">
        <v>66</v>
      </c>
      <c r="C603" s="69" t="s">
        <v>21</v>
      </c>
      <c r="D603" s="71" t="s">
        <v>13</v>
      </c>
      <c r="E603" s="70" t="s">
        <v>286</v>
      </c>
      <c r="F603" s="74">
        <v>1.1188</v>
      </c>
      <c r="G603" s="70" t="s">
        <v>286</v>
      </c>
      <c r="H603" s="74">
        <v>0.1249</v>
      </c>
    </row>
    <row r="604" spans="1:8" ht="15.6">
      <c r="A604" s="468" t="s">
        <v>1032</v>
      </c>
      <c r="B604" s="67">
        <v>67</v>
      </c>
      <c r="C604" s="69" t="s">
        <v>21</v>
      </c>
      <c r="D604" s="71" t="s">
        <v>9</v>
      </c>
      <c r="E604" s="70" t="s">
        <v>286</v>
      </c>
      <c r="F604" s="74">
        <v>0.97060000000000002</v>
      </c>
      <c r="G604" s="70" t="s">
        <v>286</v>
      </c>
      <c r="H604" s="74">
        <v>0.107</v>
      </c>
    </row>
    <row r="605" spans="1:8" ht="15.6">
      <c r="A605" s="468" t="s">
        <v>1033</v>
      </c>
      <c r="B605" s="67">
        <v>68</v>
      </c>
      <c r="C605" s="69" t="s">
        <v>21</v>
      </c>
      <c r="D605" s="71" t="s">
        <v>14</v>
      </c>
      <c r="E605" s="70" t="s">
        <v>286</v>
      </c>
      <c r="F605" s="74">
        <v>0.90210000000000001</v>
      </c>
      <c r="G605" s="70" t="s">
        <v>286</v>
      </c>
      <c r="H605" s="74">
        <v>9.8699999999999996E-2</v>
      </c>
    </row>
    <row r="606" spans="1:8" ht="15.6">
      <c r="A606" s="468" t="s">
        <v>1034</v>
      </c>
      <c r="B606" s="67">
        <v>69</v>
      </c>
      <c r="C606" s="69" t="s">
        <v>21</v>
      </c>
      <c r="D606" s="71" t="s">
        <v>33</v>
      </c>
      <c r="E606" s="70" t="s">
        <v>286</v>
      </c>
      <c r="F606" s="74">
        <v>0.64510000000000001</v>
      </c>
      <c r="G606" s="70" t="s">
        <v>286</v>
      </c>
      <c r="H606" s="74">
        <v>6.7699999999999996E-2</v>
      </c>
    </row>
    <row r="607" spans="1:8" ht="15.6">
      <c r="A607" s="468" t="s">
        <v>1035</v>
      </c>
      <c r="B607" s="67">
        <v>70</v>
      </c>
      <c r="C607" s="69" t="s">
        <v>21</v>
      </c>
      <c r="D607" s="71" t="s">
        <v>25</v>
      </c>
      <c r="E607" s="70" t="s">
        <v>286</v>
      </c>
      <c r="F607" s="74">
        <v>0.53949999999999998</v>
      </c>
      <c r="G607" s="70" t="s">
        <v>286</v>
      </c>
      <c r="H607" s="74">
        <v>5.5E-2</v>
      </c>
    </row>
    <row r="608" spans="1:8" ht="15.6">
      <c r="A608" s="468" t="s">
        <v>1036</v>
      </c>
      <c r="B608" s="67">
        <v>71</v>
      </c>
      <c r="C608" s="69" t="s">
        <v>21</v>
      </c>
      <c r="D608" s="71" t="s">
        <v>31</v>
      </c>
      <c r="E608" s="70" t="s">
        <v>286</v>
      </c>
      <c r="F608" s="74">
        <v>0.18479999999999999</v>
      </c>
      <c r="G608" s="70" t="s">
        <v>286</v>
      </c>
      <c r="H608" s="74">
        <v>1.2200000000000001E-2</v>
      </c>
    </row>
    <row r="609" spans="1:8" ht="15.6">
      <c r="A609" s="468" t="s">
        <v>1037</v>
      </c>
      <c r="B609" s="67">
        <v>72</v>
      </c>
      <c r="C609" s="69" t="s">
        <v>21</v>
      </c>
      <c r="D609" s="71" t="s">
        <v>45</v>
      </c>
      <c r="E609" s="70" t="s">
        <v>286</v>
      </c>
      <c r="F609" s="74">
        <v>0.35610000000000003</v>
      </c>
      <c r="G609" s="70" t="s">
        <v>286</v>
      </c>
      <c r="H609" s="74">
        <v>3.2800000000000003E-2</v>
      </c>
    </row>
    <row r="610" spans="1:8" ht="15.6">
      <c r="A610" s="468" t="s">
        <v>1038</v>
      </c>
      <c r="B610" s="67">
        <v>73</v>
      </c>
      <c r="C610" s="69" t="s">
        <v>21</v>
      </c>
      <c r="D610" s="71" t="s">
        <v>27</v>
      </c>
      <c r="E610" s="70" t="s">
        <v>286</v>
      </c>
      <c r="F610" s="74">
        <v>0.21160000000000001</v>
      </c>
      <c r="G610" s="70" t="s">
        <v>286</v>
      </c>
      <c r="H610" s="74">
        <v>1.54E-2</v>
      </c>
    </row>
    <row r="611" spans="1:8" ht="15.6">
      <c r="A611" s="468" t="s">
        <v>1039</v>
      </c>
      <c r="B611" s="67">
        <v>74</v>
      </c>
      <c r="C611" s="69" t="s">
        <v>21</v>
      </c>
      <c r="D611" s="71" t="s">
        <v>21</v>
      </c>
      <c r="E611" s="70" t="s">
        <v>286</v>
      </c>
      <c r="F611" s="74">
        <v>9.2700000000000005E-2</v>
      </c>
      <c r="G611" s="70" t="s">
        <v>286</v>
      </c>
      <c r="H611" s="74">
        <v>1.1000000000000001E-3</v>
      </c>
    </row>
    <row r="612" spans="1:8" ht="15.6">
      <c r="A612" s="468" t="s">
        <v>1040</v>
      </c>
      <c r="B612" s="67">
        <v>75</v>
      </c>
      <c r="C612" s="69" t="s">
        <v>21</v>
      </c>
      <c r="D612" s="71" t="s">
        <v>32</v>
      </c>
      <c r="E612" s="70" t="s">
        <v>286</v>
      </c>
      <c r="F612" s="74">
        <v>0.83389999999999997</v>
      </c>
      <c r="G612" s="70" t="s">
        <v>286</v>
      </c>
      <c r="H612" s="74">
        <v>9.0499999999999997E-2</v>
      </c>
    </row>
    <row r="613" spans="1:8" ht="15.6">
      <c r="A613" s="468" t="s">
        <v>1041</v>
      </c>
      <c r="B613" s="67">
        <v>76</v>
      </c>
      <c r="C613" s="69" t="s">
        <v>21</v>
      </c>
      <c r="D613" s="71" t="s">
        <v>30</v>
      </c>
      <c r="E613" s="70" t="s">
        <v>286</v>
      </c>
      <c r="F613" s="74">
        <v>0.28810000000000002</v>
      </c>
      <c r="G613" s="70" t="s">
        <v>286</v>
      </c>
      <c r="H613" s="74">
        <v>2.23E-2</v>
      </c>
    </row>
    <row r="614" spans="1:8" ht="15.6">
      <c r="A614" s="468" t="s">
        <v>1042</v>
      </c>
      <c r="B614" s="67">
        <v>77</v>
      </c>
      <c r="C614" s="69" t="s">
        <v>21</v>
      </c>
      <c r="D614" s="71" t="s">
        <v>28</v>
      </c>
      <c r="E614" s="70" t="s">
        <v>286</v>
      </c>
      <c r="F614" s="74">
        <v>0.43409999999999999</v>
      </c>
      <c r="G614" s="70" t="s">
        <v>286</v>
      </c>
      <c r="H614" s="74">
        <v>3.8699999999999998E-2</v>
      </c>
    </row>
    <row r="615" spans="1:8" ht="15.6">
      <c r="A615" s="468" t="s">
        <v>1043</v>
      </c>
      <c r="B615" s="67">
        <v>1</v>
      </c>
      <c r="C615" s="69" t="s">
        <v>21</v>
      </c>
      <c r="D615" s="71" t="s">
        <v>79</v>
      </c>
      <c r="E615" s="70" t="s">
        <v>286</v>
      </c>
      <c r="F615" s="74">
        <v>0.40460000000000002</v>
      </c>
      <c r="G615" s="70" t="s">
        <v>286</v>
      </c>
      <c r="H615" s="74">
        <v>3.5299999999999998E-2</v>
      </c>
    </row>
    <row r="616" spans="1:8" ht="15.6">
      <c r="A616" s="468" t="s">
        <v>1044</v>
      </c>
      <c r="B616" s="67">
        <v>2</v>
      </c>
      <c r="C616" s="69" t="s">
        <v>21</v>
      </c>
      <c r="D616" s="71" t="s">
        <v>29</v>
      </c>
      <c r="E616" s="70" t="s">
        <v>286</v>
      </c>
      <c r="F616" s="74">
        <v>0.47099999999999997</v>
      </c>
      <c r="G616" s="70" t="s">
        <v>286</v>
      </c>
      <c r="H616" s="74">
        <v>4.2799999999999998E-2</v>
      </c>
    </row>
    <row r="617" spans="1:8" ht="15.6">
      <c r="A617" s="468" t="s">
        <v>1045</v>
      </c>
      <c r="B617" s="67">
        <v>3</v>
      </c>
      <c r="C617" s="69" t="s">
        <v>21</v>
      </c>
      <c r="D617" s="71" t="s">
        <v>43</v>
      </c>
      <c r="E617" s="70" t="s">
        <v>286</v>
      </c>
      <c r="F617" s="74">
        <v>0.39779999999999999</v>
      </c>
      <c r="G617" s="70" t="s">
        <v>286</v>
      </c>
      <c r="H617" s="74">
        <v>3.4599999999999999E-2</v>
      </c>
    </row>
    <row r="618" spans="1:8" ht="15.6">
      <c r="A618" s="468" t="s">
        <v>1046</v>
      </c>
      <c r="B618" s="67">
        <v>4</v>
      </c>
      <c r="C618" s="69" t="s">
        <v>21</v>
      </c>
      <c r="D618" s="71" t="s">
        <v>18</v>
      </c>
      <c r="E618" s="70" t="s">
        <v>286</v>
      </c>
      <c r="F618" s="74">
        <v>0.39369999999999999</v>
      </c>
      <c r="G618" s="70" t="s">
        <v>286</v>
      </c>
      <c r="H618" s="74">
        <v>3.4099999999999998E-2</v>
      </c>
    </row>
    <row r="619" spans="1:8" ht="15.6">
      <c r="A619" s="468" t="s">
        <v>1047</v>
      </c>
      <c r="B619" s="67">
        <v>5</v>
      </c>
      <c r="C619" s="69" t="s">
        <v>21</v>
      </c>
      <c r="D619" s="71" t="s">
        <v>76</v>
      </c>
      <c r="E619" s="70" t="s">
        <v>286</v>
      </c>
      <c r="F619" s="74">
        <v>0.39779999999999999</v>
      </c>
      <c r="G619" s="70" t="s">
        <v>286</v>
      </c>
      <c r="H619" s="74">
        <v>3.4599999999999999E-2</v>
      </c>
    </row>
    <row r="620" spans="1:8" ht="15.6">
      <c r="A620" s="468" t="s">
        <v>1048</v>
      </c>
      <c r="B620" s="67">
        <v>6</v>
      </c>
      <c r="C620" s="69" t="s">
        <v>21</v>
      </c>
      <c r="D620" s="71" t="s">
        <v>19</v>
      </c>
      <c r="E620" s="70" t="s">
        <v>286</v>
      </c>
      <c r="F620" s="74">
        <v>0.42849999999999999</v>
      </c>
      <c r="G620" s="70" t="s">
        <v>286</v>
      </c>
      <c r="H620" s="74">
        <v>3.7999999999999999E-2</v>
      </c>
    </row>
    <row r="621" spans="1:8" ht="15.6">
      <c r="A621" s="468" t="s">
        <v>1049</v>
      </c>
      <c r="B621" s="67">
        <v>7</v>
      </c>
      <c r="C621" s="69" t="s">
        <v>21</v>
      </c>
      <c r="D621" s="71" t="s">
        <v>23</v>
      </c>
      <c r="E621" s="70" t="s">
        <v>286</v>
      </c>
      <c r="F621" s="74">
        <v>0.50800000000000001</v>
      </c>
      <c r="G621" s="70" t="s">
        <v>286</v>
      </c>
      <c r="H621" s="74">
        <v>4.7E-2</v>
      </c>
    </row>
    <row r="622" spans="1:8" ht="15.6">
      <c r="A622" s="468" t="s">
        <v>1050</v>
      </c>
      <c r="B622" s="67">
        <v>8</v>
      </c>
      <c r="C622" s="69" t="s">
        <v>21</v>
      </c>
      <c r="D622" s="71" t="s">
        <v>20</v>
      </c>
      <c r="E622" s="70" t="s">
        <v>286</v>
      </c>
      <c r="F622" s="74">
        <v>0.56079999999999997</v>
      </c>
      <c r="G622" s="70" t="s">
        <v>286</v>
      </c>
      <c r="H622" s="74">
        <v>5.2900000000000003E-2</v>
      </c>
    </row>
    <row r="623" spans="1:8" ht="15.6">
      <c r="A623" s="468" t="s">
        <v>1051</v>
      </c>
      <c r="B623" s="67">
        <v>9</v>
      </c>
      <c r="C623" s="69" t="s">
        <v>21</v>
      </c>
      <c r="D623" s="71" t="s">
        <v>53</v>
      </c>
      <c r="E623" s="70" t="s">
        <v>286</v>
      </c>
      <c r="F623" s="74">
        <v>0.53290000000000004</v>
      </c>
      <c r="G623" s="70" t="s">
        <v>286</v>
      </c>
      <c r="H623" s="74">
        <v>4.9799999999999997E-2</v>
      </c>
    </row>
    <row r="624" spans="1:8" ht="15.6">
      <c r="A624" s="468" t="s">
        <v>1052</v>
      </c>
      <c r="B624" s="67">
        <v>10</v>
      </c>
      <c r="C624" s="69" t="s">
        <v>21</v>
      </c>
      <c r="D624" s="71" t="s">
        <v>41</v>
      </c>
      <c r="E624" s="70" t="s">
        <v>286</v>
      </c>
      <c r="F624" s="74">
        <v>0.53510000000000002</v>
      </c>
      <c r="G624" s="70" t="s">
        <v>286</v>
      </c>
      <c r="H624" s="74">
        <v>0.05</v>
      </c>
    </row>
    <row r="625" spans="1:8" ht="15.6">
      <c r="A625" s="468" t="s">
        <v>1053</v>
      </c>
      <c r="B625" s="67">
        <v>11</v>
      </c>
      <c r="C625" s="69" t="s">
        <v>21</v>
      </c>
      <c r="D625" s="71" t="s">
        <v>36</v>
      </c>
      <c r="E625" s="70" t="s">
        <v>286</v>
      </c>
      <c r="F625" s="74">
        <v>0.47820000000000001</v>
      </c>
      <c r="G625" s="70" t="s">
        <v>286</v>
      </c>
      <c r="H625" s="74">
        <v>4.36E-2</v>
      </c>
    </row>
    <row r="626" spans="1:8" ht="15.6">
      <c r="A626" s="468" t="s">
        <v>1054</v>
      </c>
      <c r="B626" s="67">
        <v>12</v>
      </c>
      <c r="C626" s="69" t="s">
        <v>21</v>
      </c>
      <c r="D626" s="71" t="s">
        <v>15</v>
      </c>
      <c r="E626" s="70" t="s">
        <v>286</v>
      </c>
      <c r="F626" s="74">
        <v>0.46010000000000001</v>
      </c>
      <c r="G626" s="70" t="s">
        <v>286</v>
      </c>
      <c r="H626" s="74">
        <v>4.1599999999999998E-2</v>
      </c>
    </row>
    <row r="627" spans="1:8" ht="15.6">
      <c r="A627" s="468" t="s">
        <v>1055</v>
      </c>
      <c r="B627" s="67">
        <v>13</v>
      </c>
      <c r="C627" s="69" t="s">
        <v>21</v>
      </c>
      <c r="D627" s="71" t="s">
        <v>16</v>
      </c>
      <c r="E627" s="70" t="s">
        <v>286</v>
      </c>
      <c r="F627" s="74">
        <v>0.67230000000000001</v>
      </c>
      <c r="G627" s="70" t="s">
        <v>286</v>
      </c>
      <c r="H627" s="74">
        <v>6.54E-2</v>
      </c>
    </row>
    <row r="628" spans="1:8" ht="15.6">
      <c r="A628" s="468" t="s">
        <v>1056</v>
      </c>
      <c r="B628" s="67">
        <v>14</v>
      </c>
      <c r="C628" s="69" t="s">
        <v>21</v>
      </c>
      <c r="D628" s="71" t="s">
        <v>17</v>
      </c>
      <c r="E628" s="70" t="s">
        <v>286</v>
      </c>
      <c r="F628" s="74">
        <v>0.98080000000000001</v>
      </c>
      <c r="G628" s="70" t="s">
        <v>286</v>
      </c>
      <c r="H628" s="74">
        <v>0.1082</v>
      </c>
    </row>
    <row r="629" spans="1:8" ht="15.6">
      <c r="A629" s="468" t="s">
        <v>1057</v>
      </c>
      <c r="B629" s="67">
        <v>15</v>
      </c>
      <c r="C629" s="69" t="s">
        <v>21</v>
      </c>
      <c r="D629" s="71" t="s">
        <v>10</v>
      </c>
      <c r="E629" s="70" t="s">
        <v>286</v>
      </c>
      <c r="F629" s="74">
        <v>0.98080000000000001</v>
      </c>
      <c r="G629" s="70" t="s">
        <v>286</v>
      </c>
      <c r="H629" s="74">
        <v>0.1082</v>
      </c>
    </row>
    <row r="630" spans="1:8" ht="15.6">
      <c r="A630" s="468" t="s">
        <v>1058</v>
      </c>
      <c r="B630" s="67">
        <v>16</v>
      </c>
      <c r="C630" s="69" t="s">
        <v>21</v>
      </c>
      <c r="D630" s="71" t="s">
        <v>22</v>
      </c>
      <c r="E630" s="70" t="s">
        <v>286</v>
      </c>
      <c r="F630" s="74">
        <v>0.44030000000000002</v>
      </c>
      <c r="G630" s="70" t="s">
        <v>286</v>
      </c>
      <c r="H630" s="74">
        <v>3.9399999999999998E-2</v>
      </c>
    </row>
    <row r="631" spans="1:8" ht="15.6">
      <c r="A631" s="468" t="s">
        <v>1059</v>
      </c>
      <c r="B631" s="67">
        <v>17</v>
      </c>
      <c r="C631" s="69" t="s">
        <v>21</v>
      </c>
      <c r="D631" s="71" t="s">
        <v>35</v>
      </c>
      <c r="E631" s="70" t="s">
        <v>286</v>
      </c>
      <c r="F631" s="74">
        <v>0.42049999999999998</v>
      </c>
      <c r="G631" s="70" t="s">
        <v>286</v>
      </c>
      <c r="H631" s="74">
        <v>3.7100000000000001E-2</v>
      </c>
    </row>
    <row r="632" spans="1:8" ht="15.6">
      <c r="A632" s="468" t="s">
        <v>1060</v>
      </c>
      <c r="B632" s="67">
        <v>18</v>
      </c>
      <c r="C632" s="69" t="s">
        <v>21</v>
      </c>
      <c r="D632" s="71" t="s">
        <v>24</v>
      </c>
      <c r="E632" s="70" t="s">
        <v>286</v>
      </c>
      <c r="F632" s="74">
        <v>0.55159999999999998</v>
      </c>
      <c r="G632" s="70" t="s">
        <v>286</v>
      </c>
      <c r="H632" s="74">
        <v>5.1900000000000002E-2</v>
      </c>
    </row>
    <row r="633" spans="1:8" ht="15.6">
      <c r="A633" s="468" t="s">
        <v>1061</v>
      </c>
      <c r="B633" s="67">
        <v>19</v>
      </c>
      <c r="C633" s="69" t="s">
        <v>21</v>
      </c>
      <c r="D633" s="71" t="s">
        <v>37</v>
      </c>
      <c r="E633" s="70" t="s">
        <v>286</v>
      </c>
      <c r="F633" s="74">
        <v>0.4768</v>
      </c>
      <c r="G633" s="70" t="s">
        <v>286</v>
      </c>
      <c r="H633" s="74">
        <v>4.3499999999999997E-2</v>
      </c>
    </row>
    <row r="634" spans="1:8" ht="15.6">
      <c r="A634" s="468" t="s">
        <v>1062</v>
      </c>
      <c r="B634" s="67">
        <v>20</v>
      </c>
      <c r="C634" s="69" t="s">
        <v>21</v>
      </c>
      <c r="D634" s="71" t="s">
        <v>38</v>
      </c>
      <c r="E634" s="70" t="s">
        <v>286</v>
      </c>
      <c r="F634" s="74">
        <v>0.17100000000000001</v>
      </c>
      <c r="G634" s="70" t="s">
        <v>286</v>
      </c>
      <c r="H634" s="74">
        <v>1.0500000000000001E-2</v>
      </c>
    </row>
    <row r="635" spans="1:8" ht="15.6">
      <c r="A635" s="468" t="s">
        <v>1063</v>
      </c>
      <c r="B635" s="67">
        <v>21</v>
      </c>
      <c r="C635" s="69" t="s">
        <v>21</v>
      </c>
      <c r="D635" s="71" t="s">
        <v>26</v>
      </c>
      <c r="E635" s="70" t="s">
        <v>286</v>
      </c>
      <c r="F635" s="74">
        <v>0.56200000000000006</v>
      </c>
      <c r="G635" s="70" t="s">
        <v>286</v>
      </c>
      <c r="H635" s="74">
        <v>5.2999999999999999E-2</v>
      </c>
    </row>
    <row r="636" spans="1:8" ht="15.6">
      <c r="A636" s="468" t="s">
        <v>1064</v>
      </c>
      <c r="B636" s="67">
        <v>22</v>
      </c>
      <c r="C636" s="69" t="s">
        <v>21</v>
      </c>
      <c r="D636" s="71" t="s">
        <v>52</v>
      </c>
      <c r="E636" s="70" t="s">
        <v>286</v>
      </c>
      <c r="F636" s="74">
        <v>0.90210000000000001</v>
      </c>
      <c r="G636" s="70" t="s">
        <v>286</v>
      </c>
      <c r="H636" s="74">
        <v>9.8699999999999996E-2</v>
      </c>
    </row>
    <row r="637" spans="1:8" ht="15.6">
      <c r="A637" s="468" t="s">
        <v>1065</v>
      </c>
      <c r="B637" s="67">
        <v>23</v>
      </c>
      <c r="C637" s="69" t="s">
        <v>21</v>
      </c>
      <c r="D637" s="71" t="s">
        <v>40</v>
      </c>
      <c r="E637" s="70" t="s">
        <v>286</v>
      </c>
      <c r="F637" s="74">
        <v>0.50949999999999995</v>
      </c>
      <c r="G637" s="70" t="s">
        <v>286</v>
      </c>
      <c r="H637" s="74">
        <v>5.1400000000000001E-2</v>
      </c>
    </row>
    <row r="638" spans="1:8" ht="15.6">
      <c r="A638" s="468" t="s">
        <v>1066</v>
      </c>
      <c r="B638" s="67">
        <v>24</v>
      </c>
      <c r="C638" s="69" t="s">
        <v>21</v>
      </c>
      <c r="D638" s="71" t="s">
        <v>34</v>
      </c>
      <c r="E638" s="70" t="s">
        <v>286</v>
      </c>
      <c r="F638" s="74">
        <v>1.1188</v>
      </c>
      <c r="G638" s="70" t="s">
        <v>286</v>
      </c>
      <c r="H638" s="74">
        <v>0.1249</v>
      </c>
    </row>
    <row r="639" spans="1:8" ht="15.6">
      <c r="A639" s="468" t="s">
        <v>1067</v>
      </c>
      <c r="B639" s="67">
        <v>25</v>
      </c>
      <c r="C639" s="69" t="s">
        <v>21</v>
      </c>
      <c r="D639" s="71" t="s">
        <v>54</v>
      </c>
      <c r="E639" s="70" t="s">
        <v>286</v>
      </c>
      <c r="F639" s="74">
        <v>0.53290000000000004</v>
      </c>
      <c r="G639" s="70" t="s">
        <v>286</v>
      </c>
      <c r="H639" s="74">
        <v>4.9799999999999997E-2</v>
      </c>
    </row>
    <row r="640" spans="1:8" ht="15.6">
      <c r="A640" s="468" t="s">
        <v>1068</v>
      </c>
      <c r="B640" s="67">
        <v>26</v>
      </c>
      <c r="C640" s="69" t="s">
        <v>56</v>
      </c>
      <c r="D640" s="71" t="s">
        <v>12</v>
      </c>
      <c r="E640" s="70">
        <v>9.1329100000000007</v>
      </c>
      <c r="F640" s="74">
        <v>0.30030000000000001</v>
      </c>
      <c r="G640" s="70">
        <v>0.79408999999999996</v>
      </c>
      <c r="H640" s="74">
        <v>2.6100000000000002E-2</v>
      </c>
    </row>
    <row r="641" spans="1:8" ht="15.6">
      <c r="A641" s="468" t="s">
        <v>1069</v>
      </c>
      <c r="B641" s="67">
        <v>27</v>
      </c>
      <c r="C641" s="69" t="s">
        <v>56</v>
      </c>
      <c r="D641" s="71" t="s">
        <v>51</v>
      </c>
      <c r="E641" s="70">
        <v>4.0113500000000002</v>
      </c>
      <c r="F641" s="74">
        <v>0.13189999999999999</v>
      </c>
      <c r="G641" s="70">
        <v>0.17624000000000001</v>
      </c>
      <c r="H641" s="74">
        <v>5.7999999999999996E-3</v>
      </c>
    </row>
    <row r="642" spans="1:8" ht="15.6">
      <c r="A642" s="468" t="s">
        <v>1070</v>
      </c>
      <c r="B642" s="67">
        <v>28</v>
      </c>
      <c r="C642" s="69" t="s">
        <v>56</v>
      </c>
      <c r="D642" s="71" t="s">
        <v>13</v>
      </c>
      <c r="E642" s="70">
        <v>6.8276300000000001</v>
      </c>
      <c r="F642" s="74">
        <v>0.22450000000000001</v>
      </c>
      <c r="G642" s="70">
        <v>0.51597999999999999</v>
      </c>
      <c r="H642" s="74">
        <v>1.7000000000000001E-2</v>
      </c>
    </row>
    <row r="643" spans="1:8" ht="15.6">
      <c r="A643" s="468" t="s">
        <v>1071</v>
      </c>
      <c r="B643" s="67">
        <v>29</v>
      </c>
      <c r="C643" s="69" t="s">
        <v>56</v>
      </c>
      <c r="D643" s="71" t="s">
        <v>9</v>
      </c>
      <c r="E643" s="70">
        <v>11.380699999999999</v>
      </c>
      <c r="F643" s="74">
        <v>0.37419999999999998</v>
      </c>
      <c r="G643" s="70">
        <v>1.0652600000000001</v>
      </c>
      <c r="H643" s="74">
        <v>3.5000000000000003E-2</v>
      </c>
    </row>
    <row r="644" spans="1:8" ht="15.6">
      <c r="A644" s="468" t="s">
        <v>1072</v>
      </c>
      <c r="B644" s="67">
        <v>30</v>
      </c>
      <c r="C644" s="69" t="s">
        <v>56</v>
      </c>
      <c r="D644" s="71" t="s">
        <v>14</v>
      </c>
      <c r="E644" s="70">
        <v>13.41892</v>
      </c>
      <c r="F644" s="74">
        <v>0.44119999999999998</v>
      </c>
      <c r="G644" s="70">
        <v>1.3111200000000001</v>
      </c>
      <c r="H644" s="74">
        <v>4.3099999999999999E-2</v>
      </c>
    </row>
    <row r="645" spans="1:8" ht="15.6">
      <c r="A645" s="468" t="s">
        <v>1073</v>
      </c>
      <c r="B645" s="67">
        <v>31</v>
      </c>
      <c r="C645" s="69" t="s">
        <v>56</v>
      </c>
      <c r="D645" s="71" t="s">
        <v>33</v>
      </c>
      <c r="E645" s="70">
        <v>21.938330000000001</v>
      </c>
      <c r="F645" s="74">
        <v>0.72130000000000005</v>
      </c>
      <c r="G645" s="70">
        <v>2.3389199999999999</v>
      </c>
      <c r="H645" s="74">
        <v>7.6899999999999996E-2</v>
      </c>
    </row>
    <row r="646" spans="1:8" ht="15.6">
      <c r="A646" s="468" t="s">
        <v>1074</v>
      </c>
      <c r="B646" s="67">
        <v>32</v>
      </c>
      <c r="C646" s="69" t="s">
        <v>56</v>
      </c>
      <c r="D646" s="71" t="s">
        <v>25</v>
      </c>
      <c r="E646" s="70">
        <v>24.447089999999999</v>
      </c>
      <c r="F646" s="74">
        <v>0.80369999999999997</v>
      </c>
      <c r="G646" s="70">
        <v>2.64154</v>
      </c>
      <c r="H646" s="74">
        <v>8.6900000000000005E-2</v>
      </c>
    </row>
    <row r="647" spans="1:8" ht="15.6">
      <c r="A647" s="468" t="s">
        <v>1075</v>
      </c>
      <c r="B647" s="67">
        <v>33</v>
      </c>
      <c r="C647" s="69" t="s">
        <v>56</v>
      </c>
      <c r="D647" s="71" t="s">
        <v>31</v>
      </c>
      <c r="E647" s="70">
        <v>37.141489999999997</v>
      </c>
      <c r="F647" s="74">
        <v>1.2211000000000001</v>
      </c>
      <c r="G647" s="70">
        <v>4.1729799999999999</v>
      </c>
      <c r="H647" s="74">
        <v>0.13719999999999999</v>
      </c>
    </row>
    <row r="648" spans="1:8" ht="15.6">
      <c r="A648" s="468" t="s">
        <v>1076</v>
      </c>
      <c r="B648" s="67">
        <v>34</v>
      </c>
      <c r="C648" s="69" t="s">
        <v>56</v>
      </c>
      <c r="D648" s="71" t="s">
        <v>45</v>
      </c>
      <c r="E648" s="70">
        <v>30.027640000000002</v>
      </c>
      <c r="F648" s="74">
        <v>0.98719999999999997</v>
      </c>
      <c r="G648" s="70">
        <v>3.3147799999999998</v>
      </c>
      <c r="H648" s="74">
        <v>0.109</v>
      </c>
    </row>
    <row r="649" spans="1:8" ht="15.6">
      <c r="A649" s="468" t="s">
        <v>1077</v>
      </c>
      <c r="B649" s="67">
        <v>35</v>
      </c>
      <c r="C649" s="69" t="s">
        <v>56</v>
      </c>
      <c r="D649" s="71" t="s">
        <v>27</v>
      </c>
      <c r="E649" s="70">
        <v>34.421019999999999</v>
      </c>
      <c r="F649" s="74">
        <v>1.1316999999999999</v>
      </c>
      <c r="G649" s="70">
        <v>3.8448199999999999</v>
      </c>
      <c r="H649" s="74">
        <v>0.12640000000000001</v>
      </c>
    </row>
    <row r="650" spans="1:8" ht="15.6">
      <c r="A650" s="468" t="s">
        <v>1078</v>
      </c>
      <c r="B650" s="67">
        <v>36</v>
      </c>
      <c r="C650" s="69" t="s">
        <v>56</v>
      </c>
      <c r="D650" s="71" t="s">
        <v>21</v>
      </c>
      <c r="E650" s="70">
        <v>38.036949999999997</v>
      </c>
      <c r="F650" s="74">
        <v>1.2504999999999999</v>
      </c>
      <c r="G650" s="70">
        <v>4.28104</v>
      </c>
      <c r="H650" s="74">
        <v>0.14080000000000001</v>
      </c>
    </row>
    <row r="651" spans="1:8" ht="15.6">
      <c r="A651" s="468" t="s">
        <v>1079</v>
      </c>
      <c r="B651" s="67">
        <v>37</v>
      </c>
      <c r="C651" s="69" t="s">
        <v>56</v>
      </c>
      <c r="D651" s="71" t="s">
        <v>32</v>
      </c>
      <c r="E651" s="70">
        <v>33.100630000000002</v>
      </c>
      <c r="F651" s="74">
        <v>1.0882000000000001</v>
      </c>
      <c r="G651" s="70">
        <v>3.6855000000000002</v>
      </c>
      <c r="H651" s="74">
        <v>0.1212</v>
      </c>
    </row>
    <row r="652" spans="1:8" ht="15.6">
      <c r="A652" s="468" t="s">
        <v>1080</v>
      </c>
      <c r="B652" s="67">
        <v>38</v>
      </c>
      <c r="C652" s="69" t="s">
        <v>56</v>
      </c>
      <c r="D652" s="71" t="s">
        <v>30</v>
      </c>
      <c r="E652" s="70">
        <v>46.2014</v>
      </c>
      <c r="F652" s="74">
        <v>1.5189999999999999</v>
      </c>
      <c r="G652" s="70">
        <v>4.8830600000000004</v>
      </c>
      <c r="H652" s="74">
        <v>0.1605</v>
      </c>
    </row>
    <row r="653" spans="1:8" ht="15.6">
      <c r="A653" s="468" t="s">
        <v>1081</v>
      </c>
      <c r="B653" s="67">
        <v>39</v>
      </c>
      <c r="C653" s="69" t="s">
        <v>56</v>
      </c>
      <c r="D653" s="71" t="s">
        <v>28</v>
      </c>
      <c r="E653" s="70">
        <v>47.61121</v>
      </c>
      <c r="F653" s="74">
        <v>1.5652999999999999</v>
      </c>
      <c r="G653" s="70">
        <v>5.0414199999999996</v>
      </c>
      <c r="H653" s="74">
        <v>0.1658</v>
      </c>
    </row>
    <row r="654" spans="1:8" ht="15.6">
      <c r="A654" s="468" t="s">
        <v>1082</v>
      </c>
      <c r="B654" s="67">
        <v>40</v>
      </c>
      <c r="C654" s="69" t="s">
        <v>56</v>
      </c>
      <c r="D654" s="71" t="s">
        <v>79</v>
      </c>
      <c r="E654" s="70">
        <v>47.917200000000001</v>
      </c>
      <c r="F654" s="74">
        <v>1.5753999999999999</v>
      </c>
      <c r="G654" s="70">
        <v>5.0758200000000002</v>
      </c>
      <c r="H654" s="74">
        <v>0.16689999999999999</v>
      </c>
    </row>
    <row r="655" spans="1:8" ht="15.6">
      <c r="A655" s="468" t="s">
        <v>1083</v>
      </c>
      <c r="B655" s="67">
        <v>41</v>
      </c>
      <c r="C655" s="69" t="s">
        <v>56</v>
      </c>
      <c r="D655" s="71" t="s">
        <v>29</v>
      </c>
      <c r="E655" s="70">
        <v>51.697380000000003</v>
      </c>
      <c r="F655" s="74">
        <v>1.6996</v>
      </c>
      <c r="G655" s="70">
        <v>5.5004999999999997</v>
      </c>
      <c r="H655" s="74">
        <v>0.18079999999999999</v>
      </c>
    </row>
    <row r="656" spans="1:8" ht="15.6">
      <c r="A656" s="468" t="s">
        <v>1084</v>
      </c>
      <c r="B656" s="67">
        <v>42</v>
      </c>
      <c r="C656" s="69" t="s">
        <v>56</v>
      </c>
      <c r="D656" s="71" t="s">
        <v>43</v>
      </c>
      <c r="E656" s="70">
        <v>47.708539999999999</v>
      </c>
      <c r="F656" s="74">
        <v>1.5685</v>
      </c>
      <c r="G656" s="70">
        <v>5.0523899999999999</v>
      </c>
      <c r="H656" s="74">
        <v>0.1661</v>
      </c>
    </row>
    <row r="657" spans="1:8" ht="15.6">
      <c r="A657" s="468" t="s">
        <v>1085</v>
      </c>
      <c r="B657" s="67">
        <v>43</v>
      </c>
      <c r="C657" s="69" t="s">
        <v>56</v>
      </c>
      <c r="D657" s="71" t="s">
        <v>18</v>
      </c>
      <c r="E657" s="70">
        <v>48.793199999999999</v>
      </c>
      <c r="F657" s="74">
        <v>1.6042000000000001</v>
      </c>
      <c r="G657" s="70">
        <v>5.1742400000000002</v>
      </c>
      <c r="H657" s="74">
        <v>0.1701</v>
      </c>
    </row>
    <row r="658" spans="1:8" ht="15.6">
      <c r="A658" s="468" t="s">
        <v>1086</v>
      </c>
      <c r="B658" s="67">
        <v>44</v>
      </c>
      <c r="C658" s="69" t="s">
        <v>56</v>
      </c>
      <c r="D658" s="71" t="s">
        <v>76</v>
      </c>
      <c r="E658" s="70">
        <v>47.708539999999999</v>
      </c>
      <c r="F658" s="74">
        <v>1.5685</v>
      </c>
      <c r="G658" s="70">
        <v>5.0523899999999999</v>
      </c>
      <c r="H658" s="74">
        <v>0.1661</v>
      </c>
    </row>
    <row r="659" spans="1:8" ht="15.6">
      <c r="A659" s="468" t="s">
        <v>1087</v>
      </c>
      <c r="B659" s="67">
        <v>45</v>
      </c>
      <c r="C659" s="69" t="s">
        <v>56</v>
      </c>
      <c r="D659" s="71" t="s">
        <v>19</v>
      </c>
      <c r="E659" s="70">
        <v>50.456989999999998</v>
      </c>
      <c r="F659" s="74">
        <v>1.6589</v>
      </c>
      <c r="G659" s="70">
        <v>5.3611300000000002</v>
      </c>
      <c r="H659" s="74">
        <v>0.17630000000000001</v>
      </c>
    </row>
    <row r="660" spans="1:8" ht="15.6">
      <c r="A660" s="468" t="s">
        <v>1088</v>
      </c>
      <c r="B660" s="67">
        <v>46</v>
      </c>
      <c r="C660" s="69" t="s">
        <v>56</v>
      </c>
      <c r="D660" s="71" t="s">
        <v>23</v>
      </c>
      <c r="E660" s="70">
        <v>52.890329999999999</v>
      </c>
      <c r="F660" s="74">
        <v>1.7388999999999999</v>
      </c>
      <c r="G660" s="70">
        <v>5.6345400000000003</v>
      </c>
      <c r="H660" s="74">
        <v>0.18529999999999999</v>
      </c>
    </row>
    <row r="661" spans="1:8" ht="15.6">
      <c r="A661" s="468" t="s">
        <v>1089</v>
      </c>
      <c r="B661" s="67">
        <v>47</v>
      </c>
      <c r="C661" s="69" t="s">
        <v>56</v>
      </c>
      <c r="D661" s="71" t="s">
        <v>20</v>
      </c>
      <c r="E661" s="70">
        <v>54.493589999999998</v>
      </c>
      <c r="F661" s="74">
        <v>1.7916000000000001</v>
      </c>
      <c r="G661" s="70">
        <v>5.8146399999999998</v>
      </c>
      <c r="H661" s="74">
        <v>0.19120000000000001</v>
      </c>
    </row>
    <row r="662" spans="1:8" ht="15.6">
      <c r="A662" s="468" t="s">
        <v>1090</v>
      </c>
      <c r="B662" s="67">
        <v>48</v>
      </c>
      <c r="C662" s="69" t="s">
        <v>56</v>
      </c>
      <c r="D662" s="71" t="s">
        <v>53</v>
      </c>
      <c r="E662" s="70">
        <v>43.59834</v>
      </c>
      <c r="F662" s="74">
        <v>1.4334</v>
      </c>
      <c r="G662" s="70">
        <v>4.5905800000000001</v>
      </c>
      <c r="H662" s="74">
        <v>0.15090000000000001</v>
      </c>
    </row>
    <row r="663" spans="1:8" ht="15.6">
      <c r="A663" s="468" t="s">
        <v>1091</v>
      </c>
      <c r="B663" s="67">
        <v>49</v>
      </c>
      <c r="C663" s="69" t="s">
        <v>56</v>
      </c>
      <c r="D663" s="71" t="s">
        <v>41</v>
      </c>
      <c r="E663" s="70">
        <v>43.532940000000004</v>
      </c>
      <c r="F663" s="74">
        <v>1.4312</v>
      </c>
      <c r="G663" s="70">
        <v>4.5832499999999996</v>
      </c>
      <c r="H663" s="74">
        <v>0.1507</v>
      </c>
    </row>
    <row r="664" spans="1:8" ht="15.6">
      <c r="A664" s="468" t="s">
        <v>1092</v>
      </c>
      <c r="B664" s="67">
        <v>50</v>
      </c>
      <c r="C664" s="69" t="s">
        <v>56</v>
      </c>
      <c r="D664" s="71" t="s">
        <v>36</v>
      </c>
      <c r="E664" s="70">
        <v>49.077599999999997</v>
      </c>
      <c r="F664" s="74">
        <v>1.6134999999999999</v>
      </c>
      <c r="G664" s="70">
        <v>5.2061900000000003</v>
      </c>
      <c r="H664" s="74">
        <v>0.17119999999999999</v>
      </c>
    </row>
    <row r="665" spans="1:8" ht="15.6">
      <c r="A665" s="468" t="s">
        <v>1093</v>
      </c>
      <c r="B665" s="67">
        <v>51</v>
      </c>
      <c r="C665" s="69" t="s">
        <v>56</v>
      </c>
      <c r="D665" s="71" t="s">
        <v>15</v>
      </c>
      <c r="E665" s="70">
        <v>51.431539999999998</v>
      </c>
      <c r="F665" s="74">
        <v>1.6909000000000001</v>
      </c>
      <c r="G665" s="70">
        <v>5.4706599999999996</v>
      </c>
      <c r="H665" s="74">
        <v>0.1799</v>
      </c>
    </row>
    <row r="666" spans="1:8" ht="15.6">
      <c r="A666" s="468" t="s">
        <v>1094</v>
      </c>
      <c r="B666" s="67">
        <v>52</v>
      </c>
      <c r="C666" s="69" t="s">
        <v>56</v>
      </c>
      <c r="D666" s="71" t="s">
        <v>16</v>
      </c>
      <c r="E666" s="70">
        <v>57.885649999999998</v>
      </c>
      <c r="F666" s="74">
        <v>1.9031</v>
      </c>
      <c r="G666" s="70">
        <v>6.1957500000000003</v>
      </c>
      <c r="H666" s="74">
        <v>0.20369999999999999</v>
      </c>
    </row>
    <row r="667" spans="1:8" ht="15.6">
      <c r="A667" s="468" t="s">
        <v>1095</v>
      </c>
      <c r="B667" s="67">
        <v>53</v>
      </c>
      <c r="C667" s="69" t="s">
        <v>56</v>
      </c>
      <c r="D667" s="71" t="s">
        <v>17</v>
      </c>
      <c r="E667" s="70">
        <v>13.774800000000001</v>
      </c>
      <c r="F667" s="74">
        <v>0.45290000000000002</v>
      </c>
      <c r="G667" s="70">
        <v>1.35409</v>
      </c>
      <c r="H667" s="74">
        <v>4.4499999999999998E-2</v>
      </c>
    </row>
    <row r="668" spans="1:8" ht="15.6">
      <c r="A668" s="468" t="s">
        <v>1096</v>
      </c>
      <c r="B668" s="67">
        <v>54</v>
      </c>
      <c r="C668" s="69" t="s">
        <v>56</v>
      </c>
      <c r="D668" s="71" t="s">
        <v>10</v>
      </c>
      <c r="E668" s="70">
        <v>13.774800000000001</v>
      </c>
      <c r="F668" s="74">
        <v>0.45290000000000002</v>
      </c>
      <c r="G668" s="70">
        <v>1.35409</v>
      </c>
      <c r="H668" s="74">
        <v>4.4499999999999998E-2</v>
      </c>
    </row>
    <row r="669" spans="1:8" ht="15.6">
      <c r="A669" s="468" t="s">
        <v>1097</v>
      </c>
      <c r="B669" s="67">
        <v>55</v>
      </c>
      <c r="C669" s="69" t="s">
        <v>56</v>
      </c>
      <c r="D669" s="71" t="s">
        <v>22</v>
      </c>
      <c r="E669" s="70">
        <v>50.82929</v>
      </c>
      <c r="F669" s="74">
        <v>1.6711</v>
      </c>
      <c r="G669" s="70">
        <v>5.4029999999999996</v>
      </c>
      <c r="H669" s="74">
        <v>0.17760000000000001</v>
      </c>
    </row>
    <row r="670" spans="1:8" ht="15.6">
      <c r="A670" s="468" t="s">
        <v>1098</v>
      </c>
      <c r="B670" s="67">
        <v>56</v>
      </c>
      <c r="C670" s="69" t="s">
        <v>56</v>
      </c>
      <c r="D670" s="71" t="s">
        <v>35</v>
      </c>
      <c r="E670" s="70">
        <v>47.016260000000003</v>
      </c>
      <c r="F670" s="74">
        <v>1.5457000000000001</v>
      </c>
      <c r="G670" s="70">
        <v>4.9746199999999998</v>
      </c>
      <c r="H670" s="74">
        <v>0.1636</v>
      </c>
    </row>
    <row r="671" spans="1:8" ht="15.6">
      <c r="A671" s="468" t="s">
        <v>1099</v>
      </c>
      <c r="B671" s="67">
        <v>57</v>
      </c>
      <c r="C671" s="69" t="s">
        <v>56</v>
      </c>
      <c r="D671" s="71" t="s">
        <v>24</v>
      </c>
      <c r="E671" s="70">
        <v>54.21528</v>
      </c>
      <c r="F671" s="74">
        <v>1.7824</v>
      </c>
      <c r="G671" s="70">
        <v>5.7834000000000003</v>
      </c>
      <c r="H671" s="74">
        <v>0.19009999999999999</v>
      </c>
    </row>
    <row r="672" spans="1:8" ht="15.6">
      <c r="A672" s="468" t="s">
        <v>1100</v>
      </c>
      <c r="B672" s="67">
        <v>58</v>
      </c>
      <c r="C672" s="69" t="s">
        <v>56</v>
      </c>
      <c r="D672" s="71" t="s">
        <v>37</v>
      </c>
      <c r="E672" s="70">
        <v>49.034399999999998</v>
      </c>
      <c r="F672" s="74">
        <v>1.6121000000000001</v>
      </c>
      <c r="G672" s="70">
        <v>5.2013299999999996</v>
      </c>
      <c r="H672" s="74">
        <v>0.17100000000000001</v>
      </c>
    </row>
    <row r="673" spans="1:8" ht="15.6">
      <c r="A673" s="468" t="s">
        <v>1101</v>
      </c>
      <c r="B673" s="67">
        <v>59</v>
      </c>
      <c r="C673" s="69" t="s">
        <v>56</v>
      </c>
      <c r="D673" s="71" t="s">
        <v>38</v>
      </c>
      <c r="E673" s="70">
        <v>40.067570000000003</v>
      </c>
      <c r="F673" s="74">
        <v>1.3172999999999999</v>
      </c>
      <c r="G673" s="70">
        <v>4.5259900000000002</v>
      </c>
      <c r="H673" s="74">
        <v>0.14879999999999999</v>
      </c>
    </row>
    <row r="674" spans="1:8" ht="15.6">
      <c r="A674" s="468" t="s">
        <v>1102</v>
      </c>
      <c r="B674" s="67">
        <v>60</v>
      </c>
      <c r="C674" s="69" t="s">
        <v>56</v>
      </c>
      <c r="D674" s="71" t="s">
        <v>26</v>
      </c>
      <c r="E674" s="70">
        <v>54.531300000000002</v>
      </c>
      <c r="F674" s="74">
        <v>1.7927999999999999</v>
      </c>
      <c r="G674" s="70">
        <v>5.8189399999999996</v>
      </c>
      <c r="H674" s="74">
        <v>0.1913</v>
      </c>
    </row>
    <row r="675" spans="1:8" ht="15.6">
      <c r="A675" s="468" t="s">
        <v>1103</v>
      </c>
      <c r="B675" s="67">
        <v>61</v>
      </c>
      <c r="C675" s="69" t="s">
        <v>56</v>
      </c>
      <c r="D675" s="71" t="s">
        <v>52</v>
      </c>
      <c r="E675" s="70">
        <v>13.41892</v>
      </c>
      <c r="F675" s="74">
        <v>0.44119999999999998</v>
      </c>
      <c r="G675" s="70">
        <v>1.3111200000000001</v>
      </c>
      <c r="H675" s="74">
        <v>4.3099999999999999E-2</v>
      </c>
    </row>
    <row r="676" spans="1:8" ht="15.6">
      <c r="A676" s="468" t="s">
        <v>1104</v>
      </c>
      <c r="B676" s="67">
        <v>62</v>
      </c>
      <c r="C676" s="69" t="s">
        <v>56</v>
      </c>
      <c r="D676" s="71" t="s">
        <v>40</v>
      </c>
      <c r="E676" s="70">
        <v>40.201099999999997</v>
      </c>
      <c r="F676" s="74">
        <v>1.3217000000000001</v>
      </c>
      <c r="G676" s="70">
        <v>4.5420699999999998</v>
      </c>
      <c r="H676" s="74">
        <v>0.14929999999999999</v>
      </c>
    </row>
    <row r="677" spans="1:8" ht="15.6">
      <c r="A677" s="468" t="s">
        <v>1105</v>
      </c>
      <c r="B677" s="67">
        <v>63</v>
      </c>
      <c r="C677" s="69" t="s">
        <v>56</v>
      </c>
      <c r="D677" s="71" t="s">
        <v>34</v>
      </c>
      <c r="E677" s="70">
        <v>6.8276300000000001</v>
      </c>
      <c r="F677" s="74">
        <v>0.22450000000000001</v>
      </c>
      <c r="G677" s="70">
        <v>0.51597999999999999</v>
      </c>
      <c r="H677" s="74">
        <v>1.7000000000000001E-2</v>
      </c>
    </row>
    <row r="678" spans="1:8" ht="15.6">
      <c r="A678" s="468" t="s">
        <v>1106</v>
      </c>
      <c r="B678" s="67">
        <v>64</v>
      </c>
      <c r="C678" s="69" t="s">
        <v>56</v>
      </c>
      <c r="D678" s="71" t="s">
        <v>54</v>
      </c>
      <c r="E678" s="70">
        <v>43.59834</v>
      </c>
      <c r="F678" s="74">
        <v>1.4334</v>
      </c>
      <c r="G678" s="70">
        <v>4.5905800000000001</v>
      </c>
      <c r="H678" s="74">
        <v>0.15090000000000001</v>
      </c>
    </row>
    <row r="679" spans="1:8" ht="15.6">
      <c r="A679" s="468" t="s">
        <v>1107</v>
      </c>
      <c r="B679" s="67">
        <v>65</v>
      </c>
      <c r="C679" s="69" t="s">
        <v>421</v>
      </c>
      <c r="D679" s="71" t="s">
        <v>12</v>
      </c>
      <c r="E679" s="70">
        <v>9.1307799999999997</v>
      </c>
      <c r="F679" s="74">
        <v>0.30020000000000002</v>
      </c>
      <c r="G679" s="70">
        <v>0.79381999999999997</v>
      </c>
      <c r="H679" s="74">
        <v>2.6100000000000002E-2</v>
      </c>
    </row>
    <row r="680" spans="1:8" ht="15.6">
      <c r="A680" s="468" t="s">
        <v>1108</v>
      </c>
      <c r="B680" s="67">
        <v>66</v>
      </c>
      <c r="C680" s="69" t="s">
        <v>421</v>
      </c>
      <c r="D680" s="71" t="s">
        <v>51</v>
      </c>
      <c r="E680" s="70">
        <v>4.0134800000000004</v>
      </c>
      <c r="F680" s="74">
        <v>0.13200000000000001</v>
      </c>
      <c r="G680" s="70">
        <v>0.17649999999999999</v>
      </c>
      <c r="H680" s="74">
        <v>5.7999999999999996E-3</v>
      </c>
    </row>
    <row r="681" spans="1:8" ht="15.6">
      <c r="A681" s="468" t="s">
        <v>1109</v>
      </c>
      <c r="B681" s="67">
        <v>67</v>
      </c>
      <c r="C681" s="69" t="s">
        <v>421</v>
      </c>
      <c r="D681" s="71" t="s">
        <v>13</v>
      </c>
      <c r="E681" s="70">
        <v>6.8297600000000003</v>
      </c>
      <c r="F681" s="74">
        <v>0.22450000000000001</v>
      </c>
      <c r="G681" s="70">
        <v>0.51624000000000003</v>
      </c>
      <c r="H681" s="74">
        <v>1.7000000000000001E-2</v>
      </c>
    </row>
    <row r="682" spans="1:8" ht="15.6">
      <c r="A682" s="468" t="s">
        <v>1110</v>
      </c>
      <c r="B682" s="67">
        <v>68</v>
      </c>
      <c r="C682" s="69" t="s">
        <v>421</v>
      </c>
      <c r="D682" s="71" t="s">
        <v>9</v>
      </c>
      <c r="E682" s="70">
        <v>11.38222</v>
      </c>
      <c r="F682" s="74">
        <v>0.37419999999999998</v>
      </c>
      <c r="G682" s="70">
        <v>1.0654600000000001</v>
      </c>
      <c r="H682" s="74">
        <v>3.5000000000000003E-2</v>
      </c>
    </row>
    <row r="683" spans="1:8" ht="15.6">
      <c r="A683" s="468" t="s">
        <v>1111</v>
      </c>
      <c r="B683" s="67">
        <v>69</v>
      </c>
      <c r="C683" s="69" t="s">
        <v>421</v>
      </c>
      <c r="D683" s="71" t="s">
        <v>14</v>
      </c>
      <c r="E683" s="70">
        <v>13.42075</v>
      </c>
      <c r="F683" s="74">
        <v>0.44119999999999998</v>
      </c>
      <c r="G683" s="70">
        <v>1.3113900000000001</v>
      </c>
      <c r="H683" s="74">
        <v>4.3099999999999999E-2</v>
      </c>
    </row>
    <row r="684" spans="1:8" ht="15.6">
      <c r="A684" s="468" t="s">
        <v>1112</v>
      </c>
      <c r="B684" s="67">
        <v>70</v>
      </c>
      <c r="C684" s="69" t="s">
        <v>421</v>
      </c>
      <c r="D684" s="71" t="s">
        <v>33</v>
      </c>
      <c r="E684" s="70">
        <v>21.940449999999998</v>
      </c>
      <c r="F684" s="74">
        <v>0.72130000000000005</v>
      </c>
      <c r="G684" s="70">
        <v>2.3391500000000001</v>
      </c>
      <c r="H684" s="74">
        <v>7.6899999999999996E-2</v>
      </c>
    </row>
    <row r="685" spans="1:8" ht="15.6">
      <c r="A685" s="468" t="s">
        <v>1113</v>
      </c>
      <c r="B685" s="67">
        <v>71</v>
      </c>
      <c r="C685" s="69" t="s">
        <v>421</v>
      </c>
      <c r="D685" s="71" t="s">
        <v>25</v>
      </c>
      <c r="E685" s="70">
        <v>24.448920000000001</v>
      </c>
      <c r="F685" s="74">
        <v>0.80379999999999996</v>
      </c>
      <c r="G685" s="70">
        <v>2.6417999999999999</v>
      </c>
      <c r="H685" s="74">
        <v>8.6900000000000005E-2</v>
      </c>
    </row>
    <row r="686" spans="1:8" ht="15.6">
      <c r="A686" s="468" t="s">
        <v>1114</v>
      </c>
      <c r="B686" s="67">
        <v>72</v>
      </c>
      <c r="C686" s="69" t="s">
        <v>421</v>
      </c>
      <c r="D686" s="71" t="s">
        <v>31</v>
      </c>
      <c r="E686" s="70">
        <v>37.143920000000001</v>
      </c>
      <c r="F686" s="74">
        <v>1.2212000000000001</v>
      </c>
      <c r="G686" s="70">
        <v>4.17326</v>
      </c>
      <c r="H686" s="74">
        <v>0.13719999999999999</v>
      </c>
    </row>
    <row r="687" spans="1:8" ht="15.6">
      <c r="A687" s="468" t="s">
        <v>1115</v>
      </c>
      <c r="B687" s="67">
        <v>73</v>
      </c>
      <c r="C687" s="69" t="s">
        <v>421</v>
      </c>
      <c r="D687" s="71" t="s">
        <v>45</v>
      </c>
      <c r="E687" s="70">
        <v>30.029769999999999</v>
      </c>
      <c r="F687" s="74">
        <v>0.98729999999999996</v>
      </c>
      <c r="G687" s="70">
        <v>3.3150200000000001</v>
      </c>
      <c r="H687" s="74">
        <v>0.109</v>
      </c>
    </row>
    <row r="688" spans="1:8" ht="15.6">
      <c r="A688" s="468" t="s">
        <v>1116</v>
      </c>
      <c r="B688" s="67">
        <v>74</v>
      </c>
      <c r="C688" s="69" t="s">
        <v>421</v>
      </c>
      <c r="D688" s="71" t="s">
        <v>27</v>
      </c>
      <c r="E688" s="70">
        <v>34.423450000000003</v>
      </c>
      <c r="F688" s="74">
        <v>1.1316999999999999</v>
      </c>
      <c r="G688" s="70">
        <v>3.8450600000000001</v>
      </c>
      <c r="H688" s="74">
        <v>0.12640000000000001</v>
      </c>
    </row>
    <row r="689" spans="1:8" ht="15.6">
      <c r="A689" s="468" t="s">
        <v>1117</v>
      </c>
      <c r="B689" s="67">
        <v>75</v>
      </c>
      <c r="C689" s="69" t="s">
        <v>421</v>
      </c>
      <c r="D689" s="71" t="s">
        <v>21</v>
      </c>
      <c r="E689" s="70">
        <v>38.039079999999998</v>
      </c>
      <c r="F689" s="74">
        <v>1.2505999999999999</v>
      </c>
      <c r="G689" s="70">
        <v>4.2812900000000003</v>
      </c>
      <c r="H689" s="74">
        <v>0.14080000000000001</v>
      </c>
    </row>
    <row r="690" spans="1:8" ht="15.6">
      <c r="A690" s="468" t="s">
        <v>1118</v>
      </c>
      <c r="B690" s="67">
        <v>76</v>
      </c>
      <c r="C690" s="69" t="s">
        <v>421</v>
      </c>
      <c r="D690" s="71" t="s">
        <v>32</v>
      </c>
      <c r="E690" s="70">
        <v>33.102460000000001</v>
      </c>
      <c r="F690" s="74">
        <v>1.0883</v>
      </c>
      <c r="G690" s="70">
        <v>3.68574</v>
      </c>
      <c r="H690" s="74">
        <v>0.1212</v>
      </c>
    </row>
    <row r="691" spans="1:8" ht="15.6">
      <c r="A691" s="468" t="s">
        <v>1119</v>
      </c>
      <c r="B691" s="67">
        <v>77</v>
      </c>
      <c r="C691" s="69" t="s">
        <v>421</v>
      </c>
      <c r="D691" s="71" t="s">
        <v>30</v>
      </c>
      <c r="E691" s="70">
        <v>46.203830000000004</v>
      </c>
      <c r="F691" s="74">
        <v>1.5189999999999999</v>
      </c>
      <c r="G691" s="70">
        <v>4.8833200000000003</v>
      </c>
      <c r="H691" s="74">
        <v>0.16059999999999999</v>
      </c>
    </row>
    <row r="692" spans="1:8" ht="15.6">
      <c r="A692" s="468" t="s">
        <v>1120</v>
      </c>
      <c r="B692" s="67">
        <v>39</v>
      </c>
      <c r="C692" s="69" t="s">
        <v>421</v>
      </c>
      <c r="D692" s="71" t="s">
        <v>28</v>
      </c>
      <c r="E692" s="70">
        <v>47.613340000000001</v>
      </c>
      <c r="F692" s="74">
        <v>1.5653999999999999</v>
      </c>
      <c r="G692" s="70">
        <v>5.0416600000000003</v>
      </c>
      <c r="H692" s="74">
        <v>0.1658</v>
      </c>
    </row>
    <row r="693" spans="1:8" ht="15.6">
      <c r="A693" s="468" t="s">
        <v>1121</v>
      </c>
      <c r="B693" s="67">
        <v>40</v>
      </c>
      <c r="C693" s="69" t="s">
        <v>421</v>
      </c>
      <c r="D693" s="71" t="s">
        <v>79</v>
      </c>
      <c r="E693" s="70">
        <v>47.919330000000002</v>
      </c>
      <c r="F693" s="74">
        <v>1.5753999999999999</v>
      </c>
      <c r="G693" s="70">
        <v>5.0760800000000001</v>
      </c>
      <c r="H693" s="74">
        <v>0.16689999999999999</v>
      </c>
    </row>
    <row r="694" spans="1:8" ht="15.6">
      <c r="A694" s="468" t="s">
        <v>1122</v>
      </c>
      <c r="B694" s="67">
        <v>41</v>
      </c>
      <c r="C694" s="69" t="s">
        <v>421</v>
      </c>
      <c r="D694" s="71" t="s">
        <v>29</v>
      </c>
      <c r="E694" s="70">
        <v>51.699509999999997</v>
      </c>
      <c r="F694" s="74">
        <v>1.6997</v>
      </c>
      <c r="G694" s="70">
        <v>5.50075</v>
      </c>
      <c r="H694" s="74">
        <v>0.18090000000000001</v>
      </c>
    </row>
    <row r="695" spans="1:8" ht="15.6">
      <c r="A695" s="468" t="s">
        <v>1123</v>
      </c>
      <c r="B695" s="67">
        <v>42</v>
      </c>
      <c r="C695" s="69" t="s">
        <v>421</v>
      </c>
      <c r="D695" s="71" t="s">
        <v>43</v>
      </c>
      <c r="E695" s="70">
        <v>47.71067</v>
      </c>
      <c r="F695" s="74">
        <v>1.5686</v>
      </c>
      <c r="G695" s="70">
        <v>5.0526400000000002</v>
      </c>
      <c r="H695" s="74">
        <v>0.1661</v>
      </c>
    </row>
    <row r="696" spans="1:8" ht="15.6">
      <c r="A696" s="468" t="s">
        <v>1124</v>
      </c>
      <c r="B696" s="67">
        <v>43</v>
      </c>
      <c r="C696" s="69" t="s">
        <v>421</v>
      </c>
      <c r="D696" s="71" t="s">
        <v>18</v>
      </c>
      <c r="E696" s="70">
        <v>48.79533</v>
      </c>
      <c r="F696" s="74">
        <v>1.6042000000000001</v>
      </c>
      <c r="G696" s="70">
        <v>5.17448</v>
      </c>
      <c r="H696" s="74">
        <v>0.1701</v>
      </c>
    </row>
    <row r="697" spans="1:8" ht="15.6">
      <c r="A697" s="468" t="s">
        <v>1125</v>
      </c>
      <c r="B697" s="67">
        <v>44</v>
      </c>
      <c r="C697" s="69" t="s">
        <v>421</v>
      </c>
      <c r="D697" s="71" t="s">
        <v>76</v>
      </c>
      <c r="E697" s="70">
        <v>47.71067</v>
      </c>
      <c r="F697" s="74">
        <v>1.5686</v>
      </c>
      <c r="G697" s="70">
        <v>5.0526400000000002</v>
      </c>
      <c r="H697" s="74">
        <v>0.1661</v>
      </c>
    </row>
    <row r="698" spans="1:8" ht="15.6">
      <c r="A698" s="468" t="s">
        <v>1126</v>
      </c>
      <c r="B698" s="67">
        <v>45</v>
      </c>
      <c r="C698" s="69" t="s">
        <v>421</v>
      </c>
      <c r="D698" s="71" t="s">
        <v>19</v>
      </c>
      <c r="E698" s="70">
        <v>50.459119999999999</v>
      </c>
      <c r="F698" s="74">
        <v>1.6589</v>
      </c>
      <c r="G698" s="70">
        <v>5.3613999999999997</v>
      </c>
      <c r="H698" s="74">
        <v>0.17630000000000001</v>
      </c>
    </row>
    <row r="699" spans="1:8" ht="15.6">
      <c r="A699" s="468" t="s">
        <v>1127</v>
      </c>
      <c r="B699" s="67">
        <v>46</v>
      </c>
      <c r="C699" s="69" t="s">
        <v>421</v>
      </c>
      <c r="D699" s="71" t="s">
        <v>23</v>
      </c>
      <c r="E699" s="70">
        <v>52.892760000000003</v>
      </c>
      <c r="F699" s="74">
        <v>1.7388999999999999</v>
      </c>
      <c r="G699" s="70">
        <v>5.6348099999999999</v>
      </c>
      <c r="H699" s="74">
        <v>0.18529999999999999</v>
      </c>
    </row>
    <row r="700" spans="1:8" ht="15.6">
      <c r="A700" s="468" t="s">
        <v>1128</v>
      </c>
      <c r="B700" s="67">
        <v>47</v>
      </c>
      <c r="C700" s="69" t="s">
        <v>421</v>
      </c>
      <c r="D700" s="71" t="s">
        <v>20</v>
      </c>
      <c r="E700" s="70">
        <v>54.496020000000001</v>
      </c>
      <c r="F700" s="74">
        <v>1.7917000000000001</v>
      </c>
      <c r="G700" s="70">
        <v>5.8149300000000004</v>
      </c>
      <c r="H700" s="74">
        <v>0.19120000000000001</v>
      </c>
    </row>
    <row r="701" spans="1:8" ht="15.6">
      <c r="A701" s="468" t="s">
        <v>1129</v>
      </c>
      <c r="B701" s="67">
        <v>48</v>
      </c>
      <c r="C701" s="69" t="s">
        <v>421</v>
      </c>
      <c r="D701" s="71" t="s">
        <v>53</v>
      </c>
      <c r="E701" s="70">
        <v>43.600470000000001</v>
      </c>
      <c r="F701" s="74">
        <v>1.4334</v>
      </c>
      <c r="G701" s="70">
        <v>4.5908199999999999</v>
      </c>
      <c r="H701" s="74">
        <v>0.15090000000000001</v>
      </c>
    </row>
    <row r="702" spans="1:8" ht="15.6">
      <c r="A702" s="468" t="s">
        <v>1130</v>
      </c>
      <c r="B702" s="67">
        <v>49</v>
      </c>
      <c r="C702" s="69" t="s">
        <v>421</v>
      </c>
      <c r="D702" s="71" t="s">
        <v>41</v>
      </c>
      <c r="E702" s="70">
        <v>43.535380000000004</v>
      </c>
      <c r="F702" s="74">
        <v>1.4313</v>
      </c>
      <c r="G702" s="70">
        <v>4.58352</v>
      </c>
      <c r="H702" s="74">
        <v>0.1507</v>
      </c>
    </row>
    <row r="703" spans="1:8" ht="15.6">
      <c r="A703" s="468" t="s">
        <v>1131</v>
      </c>
      <c r="B703" s="67">
        <v>50</v>
      </c>
      <c r="C703" s="69" t="s">
        <v>421</v>
      </c>
      <c r="D703" s="71" t="s">
        <v>36</v>
      </c>
      <c r="E703" s="70">
        <v>49.080030000000001</v>
      </c>
      <c r="F703" s="74">
        <v>1.6135999999999999</v>
      </c>
      <c r="G703" s="70">
        <v>5.2064599999999999</v>
      </c>
      <c r="H703" s="74">
        <v>0.17119999999999999</v>
      </c>
    </row>
    <row r="704" spans="1:8" ht="15.6">
      <c r="A704" s="468" t="s">
        <v>1132</v>
      </c>
      <c r="B704" s="67">
        <v>51</v>
      </c>
      <c r="C704" s="69" t="s">
        <v>421</v>
      </c>
      <c r="D704" s="71" t="s">
        <v>15</v>
      </c>
      <c r="E704" s="70">
        <v>51.433979999999998</v>
      </c>
      <c r="F704" s="74">
        <v>1.6910000000000001</v>
      </c>
      <c r="G704" s="70">
        <v>5.4709300000000001</v>
      </c>
      <c r="H704" s="74">
        <v>0.1799</v>
      </c>
    </row>
    <row r="705" spans="1:8" ht="15.6">
      <c r="A705" s="468" t="s">
        <v>1133</v>
      </c>
      <c r="B705" s="67">
        <v>52</v>
      </c>
      <c r="C705" s="69" t="s">
        <v>421</v>
      </c>
      <c r="D705" s="71" t="s">
        <v>16</v>
      </c>
      <c r="E705" s="70">
        <v>57.887779999999999</v>
      </c>
      <c r="F705" s="74">
        <v>1.9032</v>
      </c>
      <c r="G705" s="70">
        <v>6.1959900000000001</v>
      </c>
      <c r="H705" s="74">
        <v>0.20369999999999999</v>
      </c>
    </row>
    <row r="706" spans="1:8" ht="15.6">
      <c r="A706" s="468" t="s">
        <v>1134</v>
      </c>
      <c r="B706" s="67">
        <v>53</v>
      </c>
      <c r="C706" s="69" t="s">
        <v>421</v>
      </c>
      <c r="D706" s="71" t="s">
        <v>17</v>
      </c>
      <c r="E706" s="70">
        <v>13.777229999999999</v>
      </c>
      <c r="F706" s="74">
        <v>0.45300000000000001</v>
      </c>
      <c r="G706" s="70">
        <v>1.35436</v>
      </c>
      <c r="H706" s="74">
        <v>4.4499999999999998E-2</v>
      </c>
    </row>
    <row r="707" spans="1:8" ht="15.6">
      <c r="A707" s="468" t="s">
        <v>1135</v>
      </c>
      <c r="B707" s="67">
        <v>54</v>
      </c>
      <c r="C707" s="69" t="s">
        <v>421</v>
      </c>
      <c r="D707" s="71" t="s">
        <v>10</v>
      </c>
      <c r="E707" s="70">
        <v>13.777229999999999</v>
      </c>
      <c r="F707" s="74">
        <v>0.45300000000000001</v>
      </c>
      <c r="G707" s="70">
        <v>1.35436</v>
      </c>
      <c r="H707" s="74">
        <v>4.4499999999999998E-2</v>
      </c>
    </row>
    <row r="708" spans="1:8" ht="15.6">
      <c r="A708" s="468" t="s">
        <v>1136</v>
      </c>
      <c r="B708" s="67">
        <v>55</v>
      </c>
      <c r="C708" s="69" t="s">
        <v>421</v>
      </c>
      <c r="D708" s="71" t="s">
        <v>22</v>
      </c>
      <c r="E708" s="70">
        <v>50.83173</v>
      </c>
      <c r="F708" s="74">
        <v>1.6712</v>
      </c>
      <c r="G708" s="70">
        <v>5.40327</v>
      </c>
      <c r="H708" s="74">
        <v>0.17760000000000001</v>
      </c>
    </row>
    <row r="709" spans="1:8" ht="15.6">
      <c r="A709" s="468" t="s">
        <v>1137</v>
      </c>
      <c r="B709" s="67">
        <v>56</v>
      </c>
      <c r="C709" s="69" t="s">
        <v>421</v>
      </c>
      <c r="D709" s="71" t="s">
        <v>35</v>
      </c>
      <c r="E709" s="70">
        <v>47.018389999999997</v>
      </c>
      <c r="F709" s="74">
        <v>1.5458000000000001</v>
      </c>
      <c r="G709" s="70">
        <v>4.9748599999999996</v>
      </c>
      <c r="H709" s="74">
        <v>0.1636</v>
      </c>
    </row>
    <row r="710" spans="1:8" ht="15.6">
      <c r="A710" s="468" t="s">
        <v>1138</v>
      </c>
      <c r="B710" s="67">
        <v>57</v>
      </c>
      <c r="C710" s="69" t="s">
        <v>421</v>
      </c>
      <c r="D710" s="71" t="s">
        <v>24</v>
      </c>
      <c r="E710" s="70">
        <v>54.217399999999998</v>
      </c>
      <c r="F710" s="74">
        <v>1.7825</v>
      </c>
      <c r="G710" s="70">
        <v>5.7836600000000002</v>
      </c>
      <c r="H710" s="74">
        <v>0.19020000000000001</v>
      </c>
    </row>
    <row r="711" spans="1:8" ht="15.6">
      <c r="A711" s="468" t="s">
        <v>1139</v>
      </c>
      <c r="B711" s="67">
        <v>58</v>
      </c>
      <c r="C711" s="69" t="s">
        <v>421</v>
      </c>
      <c r="D711" s="71" t="s">
        <v>37</v>
      </c>
      <c r="E711" s="70">
        <v>49.036529999999999</v>
      </c>
      <c r="F711" s="74">
        <v>1.6122000000000001</v>
      </c>
      <c r="G711" s="70">
        <v>5.2015900000000004</v>
      </c>
      <c r="H711" s="74">
        <v>0.17100000000000001</v>
      </c>
    </row>
    <row r="712" spans="1:8" ht="15.6">
      <c r="A712" s="468" t="s">
        <v>1140</v>
      </c>
      <c r="B712" s="67">
        <v>59</v>
      </c>
      <c r="C712" s="69" t="s">
        <v>421</v>
      </c>
      <c r="D712" s="71" t="s">
        <v>38</v>
      </c>
      <c r="E712" s="70">
        <v>40.069699999999997</v>
      </c>
      <c r="F712" s="74">
        <v>1.3173999999999999</v>
      </c>
      <c r="G712" s="70">
        <v>4.5262399999999996</v>
      </c>
      <c r="H712" s="74">
        <v>0.14879999999999999</v>
      </c>
    </row>
    <row r="713" spans="1:8" ht="15.6">
      <c r="A713" s="468" t="s">
        <v>1141</v>
      </c>
      <c r="B713" s="67">
        <v>60</v>
      </c>
      <c r="C713" s="69" t="s">
        <v>421</v>
      </c>
      <c r="D713" s="71" t="s">
        <v>26</v>
      </c>
      <c r="E713" s="70">
        <v>54.533740000000002</v>
      </c>
      <c r="F713" s="74">
        <v>1.7928999999999999</v>
      </c>
      <c r="G713" s="70">
        <v>5.8192000000000004</v>
      </c>
      <c r="H713" s="74">
        <v>0.1913</v>
      </c>
    </row>
    <row r="714" spans="1:8" ht="15.6">
      <c r="A714" s="468" t="s">
        <v>1142</v>
      </c>
      <c r="B714" s="67">
        <v>61</v>
      </c>
      <c r="C714" s="69" t="s">
        <v>421</v>
      </c>
      <c r="D714" s="71" t="s">
        <v>52</v>
      </c>
      <c r="E714" s="70">
        <v>13.42075</v>
      </c>
      <c r="F714" s="74">
        <v>0.44119999999999998</v>
      </c>
      <c r="G714" s="70">
        <v>1.3113900000000001</v>
      </c>
      <c r="H714" s="74">
        <v>4.3099999999999999E-2</v>
      </c>
    </row>
    <row r="715" spans="1:8" ht="15.6">
      <c r="A715" s="468" t="s">
        <v>1143</v>
      </c>
      <c r="B715" s="67">
        <v>62</v>
      </c>
      <c r="C715" s="69" t="s">
        <v>421</v>
      </c>
      <c r="D715" s="71" t="s">
        <v>40</v>
      </c>
      <c r="E715" s="70">
        <v>40.203229999999998</v>
      </c>
      <c r="F715" s="74">
        <v>1.3218000000000001</v>
      </c>
      <c r="G715" s="70">
        <v>4.5423400000000003</v>
      </c>
      <c r="H715" s="74">
        <v>0.14929999999999999</v>
      </c>
    </row>
    <row r="716" spans="1:8" ht="15.6">
      <c r="A716" s="468" t="s">
        <v>1144</v>
      </c>
      <c r="B716" s="67">
        <v>63</v>
      </c>
      <c r="C716" s="69" t="s">
        <v>421</v>
      </c>
      <c r="D716" s="71" t="s">
        <v>34</v>
      </c>
      <c r="E716" s="70">
        <v>6.8297600000000003</v>
      </c>
      <c r="F716" s="74">
        <v>0.22450000000000001</v>
      </c>
      <c r="G716" s="70">
        <v>0.51624000000000003</v>
      </c>
      <c r="H716" s="74">
        <v>1.7000000000000001E-2</v>
      </c>
    </row>
    <row r="717" spans="1:8" ht="15.6">
      <c r="A717" s="468" t="s">
        <v>1145</v>
      </c>
      <c r="B717" s="67">
        <v>64</v>
      </c>
      <c r="C717" s="69" t="s">
        <v>421</v>
      </c>
      <c r="D717" s="71" t="s">
        <v>54</v>
      </c>
      <c r="E717" s="70">
        <v>43.600470000000001</v>
      </c>
      <c r="F717" s="74">
        <v>1.4334</v>
      </c>
      <c r="G717" s="70">
        <v>4.5908199999999999</v>
      </c>
      <c r="H717" s="74">
        <v>0.15090000000000001</v>
      </c>
    </row>
    <row r="718" spans="1:8" ht="15.6">
      <c r="A718" s="468" t="s">
        <v>1146</v>
      </c>
      <c r="B718" s="67">
        <v>65</v>
      </c>
      <c r="C718" s="69" t="s">
        <v>57</v>
      </c>
      <c r="D718" s="71" t="s">
        <v>12</v>
      </c>
      <c r="E718" s="70">
        <v>6.0726899999999997</v>
      </c>
      <c r="F718" s="74">
        <v>0.19969999999999999</v>
      </c>
      <c r="G718" s="70">
        <v>0.42491000000000001</v>
      </c>
      <c r="H718" s="74">
        <v>1.4E-2</v>
      </c>
    </row>
    <row r="719" spans="1:8" ht="15.6">
      <c r="A719" s="468" t="s">
        <v>1147</v>
      </c>
      <c r="B719" s="67">
        <v>66</v>
      </c>
      <c r="C719" s="69" t="s">
        <v>57</v>
      </c>
      <c r="D719" s="71" t="s">
        <v>51</v>
      </c>
      <c r="E719" s="70">
        <v>6.9663300000000001</v>
      </c>
      <c r="F719" s="74">
        <v>0.22900000000000001</v>
      </c>
      <c r="G719" s="70">
        <v>0.53273000000000004</v>
      </c>
      <c r="H719" s="74">
        <v>1.7500000000000002E-2</v>
      </c>
    </row>
    <row r="720" spans="1:8" ht="15.6">
      <c r="A720" s="468" t="s">
        <v>1148</v>
      </c>
      <c r="B720" s="67">
        <v>67</v>
      </c>
      <c r="C720" s="69" t="s">
        <v>57</v>
      </c>
      <c r="D720" s="71" t="s">
        <v>13</v>
      </c>
      <c r="E720" s="70">
        <v>9.8878500000000003</v>
      </c>
      <c r="F720" s="74">
        <v>0.3251</v>
      </c>
      <c r="G720" s="70">
        <v>0.88515999999999995</v>
      </c>
      <c r="H720" s="74">
        <v>2.9100000000000001E-2</v>
      </c>
    </row>
    <row r="721" spans="1:8" ht="15.6">
      <c r="A721" s="468" t="s">
        <v>1149</v>
      </c>
      <c r="B721" s="67">
        <v>68</v>
      </c>
      <c r="C721" s="69" t="s">
        <v>57</v>
      </c>
      <c r="D721" s="71" t="s">
        <v>9</v>
      </c>
      <c r="E721" s="70">
        <v>14.44031</v>
      </c>
      <c r="F721" s="74">
        <v>0.4748</v>
      </c>
      <c r="G721" s="70">
        <v>1.4343900000000001</v>
      </c>
      <c r="H721" s="74">
        <v>4.7199999999999999E-2</v>
      </c>
    </row>
    <row r="722" spans="1:8" ht="15.6">
      <c r="A722" s="468" t="s">
        <v>1150</v>
      </c>
      <c r="B722" s="67">
        <v>69</v>
      </c>
      <c r="C722" s="69" t="s">
        <v>57</v>
      </c>
      <c r="D722" s="71" t="s">
        <v>14</v>
      </c>
      <c r="E722" s="70">
        <v>16.479140000000001</v>
      </c>
      <c r="F722" s="74">
        <v>0.54179999999999995</v>
      </c>
      <c r="G722" s="70">
        <v>1.68032</v>
      </c>
      <c r="H722" s="74">
        <v>5.5199999999999999E-2</v>
      </c>
    </row>
    <row r="723" spans="1:8" ht="15.6">
      <c r="A723" s="468" t="s">
        <v>1151</v>
      </c>
      <c r="B723" s="67">
        <v>70</v>
      </c>
      <c r="C723" s="69" t="s">
        <v>57</v>
      </c>
      <c r="D723" s="71" t="s">
        <v>33</v>
      </c>
      <c r="E723" s="70">
        <v>24.998850000000001</v>
      </c>
      <c r="F723" s="74">
        <v>0.82189999999999996</v>
      </c>
      <c r="G723" s="70">
        <v>2.7081</v>
      </c>
      <c r="H723" s="74">
        <v>8.8999999999999996E-2</v>
      </c>
    </row>
    <row r="724" spans="1:8" ht="15.6">
      <c r="A724" s="468" t="s">
        <v>1152</v>
      </c>
      <c r="B724" s="67">
        <v>71</v>
      </c>
      <c r="C724" s="69" t="s">
        <v>57</v>
      </c>
      <c r="D724" s="71" t="s">
        <v>25</v>
      </c>
      <c r="E724" s="70">
        <v>27.50731</v>
      </c>
      <c r="F724" s="74">
        <v>0.90439999999999998</v>
      </c>
      <c r="G724" s="70">
        <v>3.0107400000000002</v>
      </c>
      <c r="H724" s="74">
        <v>9.9000000000000005E-2</v>
      </c>
    </row>
    <row r="725" spans="1:8" ht="15.6">
      <c r="A725" s="468" t="s">
        <v>1153</v>
      </c>
      <c r="B725" s="67">
        <v>72</v>
      </c>
      <c r="C725" s="69" t="s">
        <v>57</v>
      </c>
      <c r="D725" s="71" t="s">
        <v>31</v>
      </c>
      <c r="E725" s="70">
        <v>40.201709999999999</v>
      </c>
      <c r="F725" s="74">
        <v>1.3217000000000001</v>
      </c>
      <c r="G725" s="70">
        <v>4.54216</v>
      </c>
      <c r="H725" s="74">
        <v>0.14929999999999999</v>
      </c>
    </row>
    <row r="726" spans="1:8" ht="15.6">
      <c r="A726" s="468" t="s">
        <v>1154</v>
      </c>
      <c r="B726" s="67">
        <v>73</v>
      </c>
      <c r="C726" s="69" t="s">
        <v>57</v>
      </c>
      <c r="D726" s="71" t="s">
        <v>45</v>
      </c>
      <c r="E726" s="70">
        <v>33.08755</v>
      </c>
      <c r="F726" s="74">
        <v>1.0878000000000001</v>
      </c>
      <c r="G726" s="70">
        <v>3.6839499999999998</v>
      </c>
      <c r="H726" s="74">
        <v>0.1211</v>
      </c>
    </row>
    <row r="727" spans="1:8" ht="15.6">
      <c r="A727" s="468" t="s">
        <v>1155</v>
      </c>
      <c r="B727" s="67">
        <v>74</v>
      </c>
      <c r="C727" s="69" t="s">
        <v>57</v>
      </c>
      <c r="D727" s="71" t="s">
        <v>27</v>
      </c>
      <c r="E727" s="70">
        <v>37.481549999999999</v>
      </c>
      <c r="F727" s="74">
        <v>1.2323</v>
      </c>
      <c r="G727" s="70">
        <v>4.2139899999999999</v>
      </c>
      <c r="H727" s="74">
        <v>0.13850000000000001</v>
      </c>
    </row>
    <row r="728" spans="1:8" ht="15.6">
      <c r="A728" s="468" t="s">
        <v>1156</v>
      </c>
      <c r="B728" s="67">
        <v>75</v>
      </c>
      <c r="C728" s="69" t="s">
        <v>57</v>
      </c>
      <c r="D728" s="71" t="s">
        <v>21</v>
      </c>
      <c r="E728" s="70">
        <v>41.097479999999997</v>
      </c>
      <c r="F728" s="74">
        <v>1.3512</v>
      </c>
      <c r="G728" s="70">
        <v>4.65022</v>
      </c>
      <c r="H728" s="74">
        <v>0.15290000000000001</v>
      </c>
    </row>
    <row r="729" spans="1:8" ht="15.6">
      <c r="A729" s="468" t="s">
        <v>1157</v>
      </c>
      <c r="B729" s="67">
        <v>76</v>
      </c>
      <c r="C729" s="69" t="s">
        <v>57</v>
      </c>
      <c r="D729" s="71" t="s">
        <v>32</v>
      </c>
      <c r="E729" s="70">
        <v>36.160850000000003</v>
      </c>
      <c r="F729" s="74">
        <v>1.1889000000000001</v>
      </c>
      <c r="G729" s="70">
        <v>4.0547000000000004</v>
      </c>
      <c r="H729" s="74">
        <v>0.1333</v>
      </c>
    </row>
    <row r="730" spans="1:8" ht="15.6">
      <c r="A730" s="468" t="s">
        <v>1158</v>
      </c>
      <c r="B730" s="67">
        <v>77</v>
      </c>
      <c r="C730" s="69" t="s">
        <v>57</v>
      </c>
      <c r="D730" s="71" t="s">
        <v>30</v>
      </c>
      <c r="E730" s="70">
        <v>49.487609999999997</v>
      </c>
      <c r="F730" s="74">
        <v>1.627</v>
      </c>
      <c r="G730" s="70">
        <v>5.2522399999999996</v>
      </c>
      <c r="H730" s="74">
        <v>0.17269999999999999</v>
      </c>
    </row>
    <row r="731" spans="1:8" ht="15.6">
      <c r="A731" s="468" t="s">
        <v>1159</v>
      </c>
      <c r="B731" s="67">
        <v>1</v>
      </c>
      <c r="C731" s="69" t="s">
        <v>57</v>
      </c>
      <c r="D731" s="71" t="s">
        <v>28</v>
      </c>
      <c r="E731" s="70">
        <v>50.896819999999998</v>
      </c>
      <c r="F731" s="74">
        <v>1.6733</v>
      </c>
      <c r="G731" s="70">
        <v>5.4105999999999996</v>
      </c>
      <c r="H731" s="74">
        <v>0.1779</v>
      </c>
    </row>
    <row r="732" spans="1:8" ht="15.6">
      <c r="A732" s="468" t="s">
        <v>1160</v>
      </c>
      <c r="B732" s="67">
        <v>2</v>
      </c>
      <c r="C732" s="69" t="s">
        <v>57</v>
      </c>
      <c r="D732" s="71" t="s">
        <v>79</v>
      </c>
      <c r="E732" s="70">
        <v>51.203110000000002</v>
      </c>
      <c r="F732" s="74">
        <v>1.6834</v>
      </c>
      <c r="G732" s="70">
        <v>5.4450000000000003</v>
      </c>
      <c r="H732" s="74">
        <v>0.17899999999999999</v>
      </c>
    </row>
    <row r="733" spans="1:8" ht="15.6">
      <c r="A733" s="468" t="s">
        <v>1161</v>
      </c>
      <c r="B733" s="67">
        <v>3</v>
      </c>
      <c r="C733" s="69" t="s">
        <v>57</v>
      </c>
      <c r="D733" s="71" t="s">
        <v>29</v>
      </c>
      <c r="E733" s="70">
        <v>54.982990000000001</v>
      </c>
      <c r="F733" s="74">
        <v>1.8077000000000001</v>
      </c>
      <c r="G733" s="70">
        <v>5.8696799999999998</v>
      </c>
      <c r="H733" s="74">
        <v>0.193</v>
      </c>
    </row>
    <row r="734" spans="1:8" ht="15.6">
      <c r="A734" s="468" t="s">
        <v>1162</v>
      </c>
      <c r="B734" s="67">
        <v>4</v>
      </c>
      <c r="C734" s="69" t="s">
        <v>57</v>
      </c>
      <c r="D734" s="71" t="s">
        <v>43</v>
      </c>
      <c r="E734" s="70">
        <v>50.994759999999999</v>
      </c>
      <c r="F734" s="74">
        <v>1.6765000000000001</v>
      </c>
      <c r="G734" s="70">
        <v>5.42157</v>
      </c>
      <c r="H734" s="74">
        <v>0.1782</v>
      </c>
    </row>
    <row r="735" spans="1:8" ht="15.6">
      <c r="A735" s="468" t="s">
        <v>1163</v>
      </c>
      <c r="B735" s="67">
        <v>5</v>
      </c>
      <c r="C735" s="69" t="s">
        <v>57</v>
      </c>
      <c r="D735" s="71" t="s">
        <v>18</v>
      </c>
      <c r="E735" s="70">
        <v>52.07911</v>
      </c>
      <c r="F735" s="74">
        <v>1.7121999999999999</v>
      </c>
      <c r="G735" s="70">
        <v>5.5434299999999999</v>
      </c>
      <c r="H735" s="74">
        <v>0.18229999999999999</v>
      </c>
    </row>
    <row r="736" spans="1:8" ht="15.6">
      <c r="A736" s="468" t="s">
        <v>1164</v>
      </c>
      <c r="B736" s="67">
        <v>6</v>
      </c>
      <c r="C736" s="69" t="s">
        <v>57</v>
      </c>
      <c r="D736" s="71" t="s">
        <v>76</v>
      </c>
      <c r="E736" s="70">
        <v>50.994759999999999</v>
      </c>
      <c r="F736" s="74">
        <v>1.6765000000000001</v>
      </c>
      <c r="G736" s="70">
        <v>5.42157</v>
      </c>
      <c r="H736" s="74">
        <v>0.1782</v>
      </c>
    </row>
    <row r="737" spans="1:8" ht="15.6">
      <c r="A737" s="468" t="s">
        <v>1165</v>
      </c>
      <c r="B737" s="67">
        <v>7</v>
      </c>
      <c r="C737" s="69" t="s">
        <v>57</v>
      </c>
      <c r="D737" s="71" t="s">
        <v>19</v>
      </c>
      <c r="E737" s="70">
        <v>53.742899999999999</v>
      </c>
      <c r="F737" s="74">
        <v>1.7668999999999999</v>
      </c>
      <c r="G737" s="70">
        <v>5.7303300000000004</v>
      </c>
      <c r="H737" s="74">
        <v>0.18840000000000001</v>
      </c>
    </row>
    <row r="738" spans="1:8" ht="15.6">
      <c r="A738" s="468" t="s">
        <v>1166</v>
      </c>
      <c r="B738" s="67">
        <v>8</v>
      </c>
      <c r="C738" s="69" t="s">
        <v>57</v>
      </c>
      <c r="D738" s="71" t="s">
        <v>23</v>
      </c>
      <c r="E738" s="70">
        <v>56.17624</v>
      </c>
      <c r="F738" s="74">
        <v>1.8469</v>
      </c>
      <c r="G738" s="70">
        <v>6.0037200000000004</v>
      </c>
      <c r="H738" s="74">
        <v>0.19739999999999999</v>
      </c>
    </row>
    <row r="739" spans="1:8" ht="15.6">
      <c r="A739" s="468" t="s">
        <v>1167</v>
      </c>
      <c r="B739" s="67">
        <v>9</v>
      </c>
      <c r="C739" s="69" t="s">
        <v>57</v>
      </c>
      <c r="D739" s="71" t="s">
        <v>20</v>
      </c>
      <c r="E739" s="70">
        <v>57.779800000000002</v>
      </c>
      <c r="F739" s="74">
        <v>1.8996</v>
      </c>
      <c r="G739" s="70">
        <v>6.1838800000000003</v>
      </c>
      <c r="H739" s="74">
        <v>0.20330000000000001</v>
      </c>
    </row>
    <row r="740" spans="1:8" ht="15.6">
      <c r="A740" s="468" t="s">
        <v>1168</v>
      </c>
      <c r="B740" s="67">
        <v>10</v>
      </c>
      <c r="C740" s="69" t="s">
        <v>57</v>
      </c>
      <c r="D740" s="71" t="s">
        <v>53</v>
      </c>
      <c r="E740" s="70">
        <v>46.884250000000002</v>
      </c>
      <c r="F740" s="74">
        <v>1.5414000000000001</v>
      </c>
      <c r="G740" s="70">
        <v>4.9597600000000002</v>
      </c>
      <c r="H740" s="74">
        <v>0.16309999999999999</v>
      </c>
    </row>
    <row r="741" spans="1:8" ht="15.6">
      <c r="A741" s="468" t="s">
        <v>1169</v>
      </c>
      <c r="B741" s="67">
        <v>11</v>
      </c>
      <c r="C741" s="69" t="s">
        <v>57</v>
      </c>
      <c r="D741" s="71" t="s">
        <v>41</v>
      </c>
      <c r="E741" s="70">
        <v>46.818849999999998</v>
      </c>
      <c r="F741" s="74">
        <v>1.5392999999999999</v>
      </c>
      <c r="G741" s="70">
        <v>4.9524499999999998</v>
      </c>
      <c r="H741" s="74">
        <v>0.1628</v>
      </c>
    </row>
    <row r="742" spans="1:8" ht="15.6">
      <c r="A742" s="468" t="s">
        <v>1170</v>
      </c>
      <c r="B742" s="67">
        <v>12</v>
      </c>
      <c r="C742" s="69" t="s">
        <v>57</v>
      </c>
      <c r="D742" s="71" t="s">
        <v>36</v>
      </c>
      <c r="E742" s="70">
        <v>52.363810000000001</v>
      </c>
      <c r="F742" s="74">
        <v>1.7216</v>
      </c>
      <c r="G742" s="70">
        <v>5.5753899999999996</v>
      </c>
      <c r="H742" s="74">
        <v>0.18329999999999999</v>
      </c>
    </row>
    <row r="743" spans="1:8" ht="15.6">
      <c r="A743" s="468" t="s">
        <v>1171</v>
      </c>
      <c r="B743" s="67">
        <v>13</v>
      </c>
      <c r="C743" s="69" t="s">
        <v>57</v>
      </c>
      <c r="D743" s="71" t="s">
        <v>15</v>
      </c>
      <c r="E743" s="70">
        <v>54.717759999999998</v>
      </c>
      <c r="F743" s="74">
        <v>1.7988999999999999</v>
      </c>
      <c r="G743" s="70">
        <v>5.8398599999999998</v>
      </c>
      <c r="H743" s="74">
        <v>0.192</v>
      </c>
    </row>
    <row r="744" spans="1:8" ht="15.6">
      <c r="A744" s="468" t="s">
        <v>1172</v>
      </c>
      <c r="B744" s="67">
        <v>14</v>
      </c>
      <c r="C744" s="69" t="s">
        <v>57</v>
      </c>
      <c r="D744" s="71" t="s">
        <v>16</v>
      </c>
      <c r="E744" s="70">
        <v>61.171259999999997</v>
      </c>
      <c r="F744" s="74">
        <v>2.0110999999999999</v>
      </c>
      <c r="G744" s="70">
        <v>6.5649199999999999</v>
      </c>
      <c r="H744" s="74">
        <v>0.21579999999999999</v>
      </c>
    </row>
    <row r="745" spans="1:8" ht="15.6">
      <c r="A745" s="468" t="s">
        <v>1173</v>
      </c>
      <c r="B745" s="67">
        <v>15</v>
      </c>
      <c r="C745" s="69" t="s">
        <v>57</v>
      </c>
      <c r="D745" s="71" t="s">
        <v>17</v>
      </c>
      <c r="E745" s="70">
        <v>16.835319999999999</v>
      </c>
      <c r="F745" s="74">
        <v>0.55349999999999999</v>
      </c>
      <c r="G745" s="70">
        <v>1.7232700000000001</v>
      </c>
      <c r="H745" s="74">
        <v>5.67E-2</v>
      </c>
    </row>
    <row r="746" spans="1:8" ht="15.6">
      <c r="A746" s="468" t="s">
        <v>1174</v>
      </c>
      <c r="B746" s="67">
        <v>16</v>
      </c>
      <c r="C746" s="69" t="s">
        <v>57</v>
      </c>
      <c r="D746" s="71" t="s">
        <v>10</v>
      </c>
      <c r="E746" s="70">
        <v>16.835319999999999</v>
      </c>
      <c r="F746" s="74">
        <v>0.55349999999999999</v>
      </c>
      <c r="G746" s="70">
        <v>1.7232700000000001</v>
      </c>
      <c r="H746" s="74">
        <v>5.67E-2</v>
      </c>
    </row>
    <row r="747" spans="1:8" ht="15.6">
      <c r="A747" s="468" t="s">
        <v>1175</v>
      </c>
      <c r="B747" s="67">
        <v>17</v>
      </c>
      <c r="C747" s="69" t="s">
        <v>57</v>
      </c>
      <c r="D747" s="71" t="s">
        <v>22</v>
      </c>
      <c r="E747" s="70">
        <v>54.11551</v>
      </c>
      <c r="F747" s="74">
        <v>1.7790999999999999</v>
      </c>
      <c r="G747" s="70">
        <v>5.7721799999999996</v>
      </c>
      <c r="H747" s="74">
        <v>0.1898</v>
      </c>
    </row>
    <row r="748" spans="1:8" ht="15.6">
      <c r="A748" s="468" t="s">
        <v>1176</v>
      </c>
      <c r="B748" s="67">
        <v>18</v>
      </c>
      <c r="C748" s="69" t="s">
        <v>57</v>
      </c>
      <c r="D748" s="71" t="s">
        <v>35</v>
      </c>
      <c r="E748" s="70">
        <v>50.302480000000003</v>
      </c>
      <c r="F748" s="74">
        <v>1.6537999999999999</v>
      </c>
      <c r="G748" s="70">
        <v>5.3437900000000003</v>
      </c>
      <c r="H748" s="74">
        <v>0.1757</v>
      </c>
    </row>
    <row r="749" spans="1:8" ht="15.6">
      <c r="A749" s="468" t="s">
        <v>1177</v>
      </c>
      <c r="B749" s="67">
        <v>19</v>
      </c>
      <c r="C749" s="69" t="s">
        <v>57</v>
      </c>
      <c r="D749" s="71" t="s">
        <v>24</v>
      </c>
      <c r="E749" s="70">
        <v>57.501489999999997</v>
      </c>
      <c r="F749" s="74">
        <v>1.8905000000000001</v>
      </c>
      <c r="G749" s="70">
        <v>6.15259</v>
      </c>
      <c r="H749" s="74">
        <v>0.20230000000000001</v>
      </c>
    </row>
    <row r="750" spans="1:8" ht="15.6">
      <c r="A750" s="468" t="s">
        <v>1178</v>
      </c>
      <c r="B750" s="67">
        <v>20</v>
      </c>
      <c r="C750" s="69" t="s">
        <v>57</v>
      </c>
      <c r="D750" s="71" t="s">
        <v>37</v>
      </c>
      <c r="E750" s="70">
        <v>52.320619999999998</v>
      </c>
      <c r="F750" s="74">
        <v>1.7201</v>
      </c>
      <c r="G750" s="70">
        <v>5.5705299999999998</v>
      </c>
      <c r="H750" s="74">
        <v>0.18310000000000001</v>
      </c>
    </row>
    <row r="751" spans="1:8" ht="15.6">
      <c r="A751" s="468" t="s">
        <v>1179</v>
      </c>
      <c r="B751" s="67">
        <v>21</v>
      </c>
      <c r="C751" s="69" t="s">
        <v>57</v>
      </c>
      <c r="D751" s="71" t="s">
        <v>38</v>
      </c>
      <c r="E751" s="70">
        <v>43.128100000000003</v>
      </c>
      <c r="F751" s="74">
        <v>1.4178999999999999</v>
      </c>
      <c r="G751" s="70">
        <v>4.8951700000000002</v>
      </c>
      <c r="H751" s="74">
        <v>0.16089999999999999</v>
      </c>
    </row>
    <row r="752" spans="1:8" ht="15.6">
      <c r="A752" s="468" t="s">
        <v>1180</v>
      </c>
      <c r="B752" s="67">
        <v>22</v>
      </c>
      <c r="C752" s="69" t="s">
        <v>57</v>
      </c>
      <c r="D752" s="71" t="s">
        <v>26</v>
      </c>
      <c r="E752" s="70">
        <v>57.817520000000002</v>
      </c>
      <c r="F752" s="74">
        <v>1.9009</v>
      </c>
      <c r="G752" s="70">
        <v>6.1881300000000001</v>
      </c>
      <c r="H752" s="74">
        <v>0.20349999999999999</v>
      </c>
    </row>
    <row r="753" spans="1:8" ht="15.6">
      <c r="A753" s="468" t="s">
        <v>1181</v>
      </c>
      <c r="B753" s="67">
        <v>23</v>
      </c>
      <c r="C753" s="69" t="s">
        <v>57</v>
      </c>
      <c r="D753" s="71" t="s">
        <v>52</v>
      </c>
      <c r="E753" s="70">
        <v>16.479140000000001</v>
      </c>
      <c r="F753" s="74">
        <v>0.54179999999999995</v>
      </c>
      <c r="G753" s="70">
        <v>1.68032</v>
      </c>
      <c r="H753" s="74">
        <v>5.5199999999999999E-2</v>
      </c>
    </row>
    <row r="754" spans="1:8" ht="15.6">
      <c r="A754" s="468" t="s">
        <v>1182</v>
      </c>
      <c r="B754" s="67">
        <v>24</v>
      </c>
      <c r="C754" s="69" t="s">
        <v>57</v>
      </c>
      <c r="D754" s="71" t="s">
        <v>40</v>
      </c>
      <c r="E754" s="70">
        <v>43.261020000000002</v>
      </c>
      <c r="F754" s="74">
        <v>1.4222999999999999</v>
      </c>
      <c r="G754" s="70">
        <v>4.9112499999999999</v>
      </c>
      <c r="H754" s="74">
        <v>0.1615</v>
      </c>
    </row>
    <row r="755" spans="1:8" ht="15.6">
      <c r="A755" s="468" t="s">
        <v>1183</v>
      </c>
      <c r="B755" s="67">
        <v>25</v>
      </c>
      <c r="C755" s="69" t="s">
        <v>57</v>
      </c>
      <c r="D755" s="71" t="s">
        <v>34</v>
      </c>
      <c r="E755" s="70">
        <v>9.8878500000000003</v>
      </c>
      <c r="F755" s="74">
        <v>0.3251</v>
      </c>
      <c r="G755" s="70">
        <v>0.88515999999999995</v>
      </c>
      <c r="H755" s="74">
        <v>2.9100000000000001E-2</v>
      </c>
    </row>
    <row r="756" spans="1:8" ht="15.6">
      <c r="A756" s="468" t="s">
        <v>1184</v>
      </c>
      <c r="B756" s="67">
        <v>26</v>
      </c>
      <c r="C756" s="69" t="s">
        <v>57</v>
      </c>
      <c r="D756" s="71" t="s">
        <v>54</v>
      </c>
      <c r="E756" s="70">
        <v>46.884250000000002</v>
      </c>
      <c r="F756" s="74">
        <v>1.5414000000000001</v>
      </c>
      <c r="G756" s="70">
        <v>4.9597600000000002</v>
      </c>
      <c r="H756" s="74">
        <v>0.16309999999999999</v>
      </c>
    </row>
    <row r="757" spans="1:8" ht="15.6">
      <c r="A757" s="468" t="s">
        <v>1185</v>
      </c>
      <c r="B757" s="67">
        <v>27</v>
      </c>
      <c r="C757" s="69" t="s">
        <v>22</v>
      </c>
      <c r="D757" s="71" t="s">
        <v>12</v>
      </c>
      <c r="E757" s="70">
        <v>76.879649999999998</v>
      </c>
      <c r="F757" s="74">
        <v>2.5276000000000001</v>
      </c>
      <c r="G757" s="70">
        <v>6.1644800000000002</v>
      </c>
      <c r="H757" s="74">
        <v>0.20269999999999999</v>
      </c>
    </row>
    <row r="758" spans="1:8" ht="15.6">
      <c r="A758" s="468" t="s">
        <v>1186</v>
      </c>
      <c r="B758" s="67">
        <v>28</v>
      </c>
      <c r="C758" s="69" t="s">
        <v>22</v>
      </c>
      <c r="D758" s="71" t="s">
        <v>51</v>
      </c>
      <c r="E758" s="70">
        <v>66.39076</v>
      </c>
      <c r="F758" s="74">
        <v>2.1827000000000001</v>
      </c>
      <c r="G758" s="70">
        <v>5.2814500000000004</v>
      </c>
      <c r="H758" s="74">
        <v>0.1736</v>
      </c>
    </row>
    <row r="759" spans="1:8" ht="15.6">
      <c r="A759" s="468" t="s">
        <v>1187</v>
      </c>
      <c r="B759" s="67">
        <v>29</v>
      </c>
      <c r="C759" s="69" t="s">
        <v>22</v>
      </c>
      <c r="D759" s="71" t="s">
        <v>13</v>
      </c>
      <c r="E759" s="70">
        <v>62.092889999999997</v>
      </c>
      <c r="F759" s="74">
        <v>2.0413999999999999</v>
      </c>
      <c r="G759" s="70">
        <v>4.9196400000000002</v>
      </c>
      <c r="H759" s="74">
        <v>0.16170000000000001</v>
      </c>
    </row>
    <row r="760" spans="1:8" ht="15.6">
      <c r="A760" s="468" t="s">
        <v>1188</v>
      </c>
      <c r="B760" s="67">
        <v>30</v>
      </c>
      <c r="C760" s="69" t="s">
        <v>22</v>
      </c>
      <c r="D760" s="71" t="s">
        <v>9</v>
      </c>
      <c r="E760" s="70">
        <v>55.631169999999997</v>
      </c>
      <c r="F760" s="74">
        <v>1.829</v>
      </c>
      <c r="G760" s="70">
        <v>4.3756300000000001</v>
      </c>
      <c r="H760" s="74">
        <v>0.1439</v>
      </c>
    </row>
    <row r="761" spans="1:8" ht="15.6">
      <c r="A761" s="468" t="s">
        <v>1189</v>
      </c>
      <c r="B761" s="67">
        <v>31</v>
      </c>
      <c r="C761" s="69" t="s">
        <v>22</v>
      </c>
      <c r="D761" s="71" t="s">
        <v>14</v>
      </c>
      <c r="E761" s="70">
        <v>52.6479</v>
      </c>
      <c r="F761" s="74">
        <v>1.7309000000000001</v>
      </c>
      <c r="G761" s="70">
        <v>4.1244899999999998</v>
      </c>
      <c r="H761" s="74">
        <v>0.1356</v>
      </c>
    </row>
    <row r="762" spans="1:8" ht="15.6">
      <c r="A762" s="468" t="s">
        <v>1190</v>
      </c>
      <c r="B762" s="67">
        <v>32</v>
      </c>
      <c r="C762" s="69" t="s">
        <v>22</v>
      </c>
      <c r="D762" s="71" t="s">
        <v>33</v>
      </c>
      <c r="E762" s="70">
        <v>41.444229999999997</v>
      </c>
      <c r="F762" s="74">
        <v>1.3626</v>
      </c>
      <c r="G762" s="70">
        <v>3.1813099999999999</v>
      </c>
      <c r="H762" s="74">
        <v>0.1046</v>
      </c>
    </row>
    <row r="763" spans="1:8" ht="15.6">
      <c r="A763" s="468" t="s">
        <v>1191</v>
      </c>
      <c r="B763" s="67">
        <v>33</v>
      </c>
      <c r="C763" s="69" t="s">
        <v>22</v>
      </c>
      <c r="D763" s="71" t="s">
        <v>25</v>
      </c>
      <c r="E763" s="70">
        <v>36.844619999999999</v>
      </c>
      <c r="F763" s="74">
        <v>1.2113</v>
      </c>
      <c r="G763" s="70">
        <v>2.7940800000000001</v>
      </c>
      <c r="H763" s="74">
        <v>9.1899999999999996E-2</v>
      </c>
    </row>
    <row r="764" spans="1:8" ht="15.6">
      <c r="A764" s="468" t="s">
        <v>1192</v>
      </c>
      <c r="B764" s="67">
        <v>34</v>
      </c>
      <c r="C764" s="69" t="s">
        <v>22</v>
      </c>
      <c r="D764" s="71" t="s">
        <v>31</v>
      </c>
      <c r="E764" s="70">
        <v>18.67127</v>
      </c>
      <c r="F764" s="74">
        <v>0.6139</v>
      </c>
      <c r="G764" s="70">
        <v>1.26416</v>
      </c>
      <c r="H764" s="74">
        <v>4.1599999999999998E-2</v>
      </c>
    </row>
    <row r="765" spans="1:8" ht="15.6">
      <c r="A765" s="468" t="s">
        <v>1193</v>
      </c>
      <c r="B765" s="67">
        <v>35</v>
      </c>
      <c r="C765" s="69" t="s">
        <v>22</v>
      </c>
      <c r="D765" s="71" t="s">
        <v>45</v>
      </c>
      <c r="E765" s="70">
        <v>28.847470000000001</v>
      </c>
      <c r="F765" s="74">
        <v>0.94840000000000002</v>
      </c>
      <c r="G765" s="70">
        <v>2.12086</v>
      </c>
      <c r="H765" s="74">
        <v>6.9699999999999998E-2</v>
      </c>
    </row>
    <row r="766" spans="1:8" ht="15.6">
      <c r="A766" s="468" t="s">
        <v>1194</v>
      </c>
      <c r="B766" s="67">
        <v>36</v>
      </c>
      <c r="C766" s="69" t="s">
        <v>22</v>
      </c>
      <c r="D766" s="71" t="s">
        <v>27</v>
      </c>
      <c r="E766" s="70">
        <v>22.551220000000001</v>
      </c>
      <c r="F766" s="74">
        <v>0.74139999999999995</v>
      </c>
      <c r="G766" s="70">
        <v>1.5908</v>
      </c>
      <c r="H766" s="74">
        <v>5.2299999999999999E-2</v>
      </c>
    </row>
    <row r="767" spans="1:8" ht="15.6">
      <c r="A767" s="468" t="s">
        <v>1195</v>
      </c>
      <c r="B767" s="67">
        <v>37</v>
      </c>
      <c r="C767" s="69" t="s">
        <v>22</v>
      </c>
      <c r="D767" s="71" t="s">
        <v>21</v>
      </c>
      <c r="E767" s="70">
        <v>17.873139999999999</v>
      </c>
      <c r="F767" s="74">
        <v>0.58760000000000001</v>
      </c>
      <c r="G767" s="70">
        <v>1.19695</v>
      </c>
      <c r="H767" s="74">
        <v>3.9399999999999998E-2</v>
      </c>
    </row>
    <row r="768" spans="1:8" ht="15.6">
      <c r="A768" s="468" t="s">
        <v>1196</v>
      </c>
      <c r="B768" s="67">
        <v>38</v>
      </c>
      <c r="C768" s="69" t="s">
        <v>22</v>
      </c>
      <c r="D768" s="71" t="s">
        <v>32</v>
      </c>
      <c r="E768" s="70">
        <v>34.562460000000002</v>
      </c>
      <c r="F768" s="74">
        <v>1.1363000000000001</v>
      </c>
      <c r="G768" s="70">
        <v>2.6020099999999999</v>
      </c>
      <c r="H768" s="74">
        <v>8.5599999999999996E-2</v>
      </c>
    </row>
    <row r="769" spans="1:8" ht="15.6">
      <c r="A769" s="468" t="s">
        <v>1197</v>
      </c>
      <c r="B769" s="67">
        <v>39</v>
      </c>
      <c r="C769" s="69" t="s">
        <v>22</v>
      </c>
      <c r="D769" s="71" t="s">
        <v>30</v>
      </c>
      <c r="E769" s="70">
        <v>16.32037</v>
      </c>
      <c r="F769" s="74">
        <v>0.53659999999999997</v>
      </c>
      <c r="G769" s="70">
        <v>1.06623</v>
      </c>
      <c r="H769" s="74">
        <v>3.5099999999999999E-2</v>
      </c>
    </row>
    <row r="770" spans="1:8" ht="15.6">
      <c r="A770" s="468" t="s">
        <v>1198</v>
      </c>
      <c r="B770" s="67">
        <v>40</v>
      </c>
      <c r="C770" s="69" t="s">
        <v>22</v>
      </c>
      <c r="D770" s="71" t="s">
        <v>28</v>
      </c>
      <c r="E770" s="70">
        <v>15.839779999999999</v>
      </c>
      <c r="F770" s="74">
        <v>0.52080000000000004</v>
      </c>
      <c r="G770" s="70">
        <v>1.02579</v>
      </c>
      <c r="H770" s="74">
        <v>3.3700000000000001E-2</v>
      </c>
    </row>
    <row r="771" spans="1:8" ht="15.6">
      <c r="A771" s="468" t="s">
        <v>1199</v>
      </c>
      <c r="B771" s="67">
        <v>41</v>
      </c>
      <c r="C771" s="69" t="s">
        <v>22</v>
      </c>
      <c r="D771" s="71" t="s">
        <v>79</v>
      </c>
      <c r="E771" s="70">
        <v>14.642580000000001</v>
      </c>
      <c r="F771" s="74">
        <v>0.48139999999999999</v>
      </c>
      <c r="G771" s="70">
        <v>0.92503000000000002</v>
      </c>
      <c r="H771" s="74">
        <v>3.04E-2</v>
      </c>
    </row>
    <row r="772" spans="1:8" ht="15.6">
      <c r="A772" s="468" t="s">
        <v>1200</v>
      </c>
      <c r="B772" s="67">
        <v>42</v>
      </c>
      <c r="C772" s="69" t="s">
        <v>22</v>
      </c>
      <c r="D772" s="71" t="s">
        <v>29</v>
      </c>
      <c r="E772" s="70">
        <v>6.7595000000000001</v>
      </c>
      <c r="F772" s="74">
        <v>0.22220000000000001</v>
      </c>
      <c r="G772" s="70">
        <v>0.26138</v>
      </c>
      <c r="H772" s="74">
        <v>8.6E-3</v>
      </c>
    </row>
    <row r="773" spans="1:8" ht="15.6">
      <c r="A773" s="468" t="s">
        <v>1201</v>
      </c>
      <c r="B773" s="67">
        <v>43</v>
      </c>
      <c r="C773" s="69" t="s">
        <v>22</v>
      </c>
      <c r="D773" s="71" t="s">
        <v>43</v>
      </c>
      <c r="E773" s="70">
        <v>14.364269999999999</v>
      </c>
      <c r="F773" s="74">
        <v>0.4723</v>
      </c>
      <c r="G773" s="70">
        <v>0.90158000000000005</v>
      </c>
      <c r="H773" s="74">
        <v>2.9600000000000001E-2</v>
      </c>
    </row>
    <row r="774" spans="1:8" ht="15.6">
      <c r="A774" s="468" t="s">
        <v>1202</v>
      </c>
      <c r="B774" s="67">
        <v>44</v>
      </c>
      <c r="C774" s="69" t="s">
        <v>22</v>
      </c>
      <c r="D774" s="71" t="s">
        <v>18</v>
      </c>
      <c r="E774" s="70">
        <v>13.648870000000001</v>
      </c>
      <c r="F774" s="74">
        <v>0.44869999999999999</v>
      </c>
      <c r="G774" s="70">
        <v>0.84135000000000004</v>
      </c>
      <c r="H774" s="74">
        <v>2.7699999999999999E-2</v>
      </c>
    </row>
    <row r="775" spans="1:8" ht="15.6">
      <c r="A775" s="468" t="s">
        <v>1203</v>
      </c>
      <c r="B775" s="67">
        <v>45</v>
      </c>
      <c r="C775" s="69" t="s">
        <v>22</v>
      </c>
      <c r="D775" s="71" t="s">
        <v>76</v>
      </c>
      <c r="E775" s="70">
        <v>14.364269999999999</v>
      </c>
      <c r="F775" s="74">
        <v>0.4723</v>
      </c>
      <c r="G775" s="70">
        <v>0.90158000000000005</v>
      </c>
      <c r="H775" s="74">
        <v>2.9600000000000001E-2</v>
      </c>
    </row>
    <row r="776" spans="1:8" ht="15.6">
      <c r="A776" s="468" t="s">
        <v>1204</v>
      </c>
      <c r="B776" s="67">
        <v>46</v>
      </c>
      <c r="C776" s="69" t="s">
        <v>22</v>
      </c>
      <c r="D776" s="71" t="s">
        <v>19</v>
      </c>
      <c r="E776" s="70">
        <v>6.4267399999999997</v>
      </c>
      <c r="F776" s="74">
        <v>0.21129999999999999</v>
      </c>
      <c r="G776" s="70">
        <v>0.23335</v>
      </c>
      <c r="H776" s="74">
        <v>7.7000000000000002E-3</v>
      </c>
    </row>
    <row r="777" spans="1:8" ht="15.6">
      <c r="A777" s="468" t="s">
        <v>1205</v>
      </c>
      <c r="B777" s="67">
        <v>47</v>
      </c>
      <c r="C777" s="69" t="s">
        <v>22</v>
      </c>
      <c r="D777" s="71" t="s">
        <v>23</v>
      </c>
      <c r="E777" s="70">
        <v>7.0162100000000001</v>
      </c>
      <c r="F777" s="74">
        <v>0.23069999999999999</v>
      </c>
      <c r="G777" s="70">
        <v>0.28298000000000001</v>
      </c>
      <c r="H777" s="74">
        <v>9.2999999999999992E-3</v>
      </c>
    </row>
    <row r="778" spans="1:8" ht="15.6">
      <c r="A778" s="468" t="s">
        <v>1206</v>
      </c>
      <c r="B778" s="67">
        <v>48</v>
      </c>
      <c r="C778" s="69" t="s">
        <v>22</v>
      </c>
      <c r="D778" s="71" t="s">
        <v>20</v>
      </c>
      <c r="E778" s="70">
        <v>9.3768499999999992</v>
      </c>
      <c r="F778" s="74">
        <v>0.30830000000000002</v>
      </c>
      <c r="G778" s="70">
        <v>0.48170000000000002</v>
      </c>
      <c r="H778" s="74">
        <v>1.5800000000000002E-2</v>
      </c>
    </row>
    <row r="779" spans="1:8" ht="15.6">
      <c r="A779" s="468" t="s">
        <v>1207</v>
      </c>
      <c r="B779" s="67">
        <v>49</v>
      </c>
      <c r="C779" s="69" t="s">
        <v>22</v>
      </c>
      <c r="D779" s="71" t="s">
        <v>53</v>
      </c>
      <c r="E779" s="70">
        <v>19.849920000000001</v>
      </c>
      <c r="F779" s="74">
        <v>0.65259999999999996</v>
      </c>
      <c r="G779" s="70">
        <v>1.3633900000000001</v>
      </c>
      <c r="H779" s="74">
        <v>4.48E-2</v>
      </c>
    </row>
    <row r="780" spans="1:8" ht="15.6">
      <c r="A780" s="468" t="s">
        <v>1208</v>
      </c>
      <c r="B780" s="67">
        <v>50</v>
      </c>
      <c r="C780" s="69" t="s">
        <v>22</v>
      </c>
      <c r="D780" s="71" t="s">
        <v>41</v>
      </c>
      <c r="E780" s="70">
        <v>19.936910000000001</v>
      </c>
      <c r="F780" s="74">
        <v>0.65549999999999997</v>
      </c>
      <c r="G780" s="70">
        <v>1.3707199999999999</v>
      </c>
      <c r="H780" s="74">
        <v>4.5100000000000001E-2</v>
      </c>
    </row>
    <row r="781" spans="1:8" ht="15.6">
      <c r="A781" s="468" t="s">
        <v>1209</v>
      </c>
      <c r="B781" s="67">
        <v>51</v>
      </c>
      <c r="C781" s="69" t="s">
        <v>22</v>
      </c>
      <c r="D781" s="71" t="s">
        <v>36</v>
      </c>
      <c r="E781" s="70">
        <v>17.631019999999999</v>
      </c>
      <c r="F781" s="74">
        <v>0.57969999999999999</v>
      </c>
      <c r="G781" s="70">
        <v>1.17658</v>
      </c>
      <c r="H781" s="74">
        <v>3.8699999999999998E-2</v>
      </c>
    </row>
    <row r="782" spans="1:8" ht="15.6">
      <c r="A782" s="468" t="s">
        <v>1210</v>
      </c>
      <c r="B782" s="67">
        <v>52</v>
      </c>
      <c r="C782" s="69" t="s">
        <v>22</v>
      </c>
      <c r="D782" s="71" t="s">
        <v>15</v>
      </c>
      <c r="E782" s="70">
        <v>5.2900700000000001</v>
      </c>
      <c r="F782" s="74">
        <v>0.1739</v>
      </c>
      <c r="G782" s="70">
        <v>0.13766</v>
      </c>
      <c r="H782" s="74">
        <v>4.4999999999999997E-3</v>
      </c>
    </row>
    <row r="783" spans="1:8" ht="15.6">
      <c r="A783" s="468" t="s">
        <v>1211</v>
      </c>
      <c r="B783" s="67">
        <v>53</v>
      </c>
      <c r="C783" s="69" t="s">
        <v>22</v>
      </c>
      <c r="D783" s="71" t="s">
        <v>16</v>
      </c>
      <c r="E783" s="70">
        <v>13.90255</v>
      </c>
      <c r="F783" s="74">
        <v>0.45710000000000001</v>
      </c>
      <c r="G783" s="70">
        <v>0.86272000000000004</v>
      </c>
      <c r="H783" s="74">
        <v>2.8400000000000002E-2</v>
      </c>
    </row>
    <row r="784" spans="1:8" ht="15.6">
      <c r="A784" s="468" t="s">
        <v>1212</v>
      </c>
      <c r="B784" s="67">
        <v>54</v>
      </c>
      <c r="C784" s="69" t="s">
        <v>22</v>
      </c>
      <c r="D784" s="71" t="s">
        <v>17</v>
      </c>
      <c r="E784" s="70">
        <v>56.078899999999997</v>
      </c>
      <c r="F784" s="74">
        <v>1.8436999999999999</v>
      </c>
      <c r="G784" s="70">
        <v>4.4133500000000003</v>
      </c>
      <c r="H784" s="74">
        <v>0.14510000000000001</v>
      </c>
    </row>
    <row r="785" spans="1:8" ht="15.6">
      <c r="A785" s="468" t="s">
        <v>1213</v>
      </c>
      <c r="B785" s="67">
        <v>55</v>
      </c>
      <c r="C785" s="69" t="s">
        <v>22</v>
      </c>
      <c r="D785" s="71" t="s">
        <v>10</v>
      </c>
      <c r="E785" s="70">
        <v>56.078899999999997</v>
      </c>
      <c r="F785" s="74">
        <v>1.8436999999999999</v>
      </c>
      <c r="G785" s="70">
        <v>4.4133500000000003</v>
      </c>
      <c r="H785" s="74">
        <v>0.14510000000000001</v>
      </c>
    </row>
    <row r="786" spans="1:8" ht="15.6">
      <c r="A786" s="468" t="s">
        <v>1214</v>
      </c>
      <c r="B786" s="67">
        <v>56</v>
      </c>
      <c r="C786" s="69" t="s">
        <v>22</v>
      </c>
      <c r="D786" s="71" t="s">
        <v>22</v>
      </c>
      <c r="E786" s="70">
        <v>4.0423799999999996</v>
      </c>
      <c r="F786" s="74">
        <v>0.13289999999999999</v>
      </c>
      <c r="G786" s="70">
        <v>3.261E-2</v>
      </c>
      <c r="H786" s="74">
        <v>1.1000000000000001E-3</v>
      </c>
    </row>
    <row r="787" spans="1:8" ht="15.6">
      <c r="A787" s="468" t="s">
        <v>1215</v>
      </c>
      <c r="B787" s="67">
        <v>57</v>
      </c>
      <c r="C787" s="69" t="s">
        <v>22</v>
      </c>
      <c r="D787" s="71" t="s">
        <v>35</v>
      </c>
      <c r="E787" s="70">
        <v>15.288029999999999</v>
      </c>
      <c r="F787" s="74">
        <v>0.50260000000000005</v>
      </c>
      <c r="G787" s="70">
        <v>0.97936000000000001</v>
      </c>
      <c r="H787" s="74">
        <v>3.2199999999999999E-2</v>
      </c>
    </row>
    <row r="788" spans="1:8" ht="15.6">
      <c r="A788" s="468" t="s">
        <v>1216</v>
      </c>
      <c r="B788" s="67">
        <v>58</v>
      </c>
      <c r="C788" s="69" t="s">
        <v>22</v>
      </c>
      <c r="D788" s="71" t="s">
        <v>24</v>
      </c>
      <c r="E788" s="70">
        <v>9.0045500000000001</v>
      </c>
      <c r="F788" s="74">
        <v>0.29599999999999999</v>
      </c>
      <c r="G788" s="70">
        <v>0.45040000000000002</v>
      </c>
      <c r="H788" s="74">
        <v>1.4800000000000001E-2</v>
      </c>
    </row>
    <row r="789" spans="1:8" ht="15.6">
      <c r="A789" s="468" t="s">
        <v>1217</v>
      </c>
      <c r="B789" s="67">
        <v>59</v>
      </c>
      <c r="C789" s="69" t="s">
        <v>22</v>
      </c>
      <c r="D789" s="71" t="s">
        <v>37</v>
      </c>
      <c r="E789" s="70">
        <v>17.572929999999999</v>
      </c>
      <c r="F789" s="74">
        <v>0.57769999999999999</v>
      </c>
      <c r="G789" s="70">
        <v>1.17171</v>
      </c>
      <c r="H789" s="74">
        <v>3.85E-2</v>
      </c>
    </row>
    <row r="790" spans="1:8" ht="15.6">
      <c r="A790" s="468" t="s">
        <v>1218</v>
      </c>
      <c r="B790" s="67">
        <v>60</v>
      </c>
      <c r="C790" s="69" t="s">
        <v>22</v>
      </c>
      <c r="D790" s="71" t="s">
        <v>38</v>
      </c>
      <c r="E790" s="70">
        <v>14.45978</v>
      </c>
      <c r="F790" s="74">
        <v>0.47539999999999999</v>
      </c>
      <c r="G790" s="70">
        <v>0.90961999999999998</v>
      </c>
      <c r="H790" s="74">
        <v>2.9899999999999999E-2</v>
      </c>
    </row>
    <row r="791" spans="1:8" ht="15.6">
      <c r="A791" s="468" t="s">
        <v>1219</v>
      </c>
      <c r="B791" s="67">
        <v>61</v>
      </c>
      <c r="C791" s="69" t="s">
        <v>22</v>
      </c>
      <c r="D791" s="71" t="s">
        <v>26</v>
      </c>
      <c r="E791" s="70">
        <v>9.4267299999999992</v>
      </c>
      <c r="F791" s="74">
        <v>0.30990000000000001</v>
      </c>
      <c r="G791" s="70">
        <v>0.48593999999999998</v>
      </c>
      <c r="H791" s="74">
        <v>1.6E-2</v>
      </c>
    </row>
    <row r="792" spans="1:8" ht="15.6">
      <c r="A792" s="468" t="s">
        <v>1220</v>
      </c>
      <c r="B792" s="67">
        <v>62</v>
      </c>
      <c r="C792" s="69" t="s">
        <v>22</v>
      </c>
      <c r="D792" s="71" t="s">
        <v>52</v>
      </c>
      <c r="E792" s="70">
        <v>52.6479</v>
      </c>
      <c r="F792" s="74">
        <v>1.7309000000000001</v>
      </c>
      <c r="G792" s="70">
        <v>4.1244899999999998</v>
      </c>
      <c r="H792" s="74">
        <v>0.1356</v>
      </c>
    </row>
    <row r="793" spans="1:8" ht="15.6">
      <c r="A793" s="468" t="s">
        <v>1221</v>
      </c>
      <c r="B793" s="67">
        <v>63</v>
      </c>
      <c r="C793" s="69" t="s">
        <v>22</v>
      </c>
      <c r="D793" s="71" t="s">
        <v>40</v>
      </c>
      <c r="E793" s="70">
        <v>20.426010000000002</v>
      </c>
      <c r="F793" s="74">
        <v>0.67149999999999999</v>
      </c>
      <c r="G793" s="70">
        <v>1.4118999999999999</v>
      </c>
      <c r="H793" s="74">
        <v>4.6399999999999997E-2</v>
      </c>
    </row>
    <row r="794" spans="1:8" ht="15.6">
      <c r="A794" s="468" t="s">
        <v>1222</v>
      </c>
      <c r="B794" s="67">
        <v>64</v>
      </c>
      <c r="C794" s="69" t="s">
        <v>22</v>
      </c>
      <c r="D794" s="71" t="s">
        <v>34</v>
      </c>
      <c r="E794" s="70">
        <v>62.092889999999997</v>
      </c>
      <c r="F794" s="74">
        <v>2.0413999999999999</v>
      </c>
      <c r="G794" s="70">
        <v>4.9196400000000002</v>
      </c>
      <c r="H794" s="74">
        <v>0.16170000000000001</v>
      </c>
    </row>
    <row r="795" spans="1:8" ht="15.6">
      <c r="A795" s="468" t="s">
        <v>1223</v>
      </c>
      <c r="B795" s="67">
        <v>65</v>
      </c>
      <c r="C795" s="69" t="s">
        <v>22</v>
      </c>
      <c r="D795" s="71" t="s">
        <v>54</v>
      </c>
      <c r="E795" s="70">
        <v>19.849920000000001</v>
      </c>
      <c r="F795" s="74">
        <v>0.65259999999999996</v>
      </c>
      <c r="G795" s="70">
        <v>1.3633900000000001</v>
      </c>
      <c r="H795" s="74">
        <v>4.48E-2</v>
      </c>
    </row>
    <row r="796" spans="1:8" ht="15.6">
      <c r="A796" s="468" t="s">
        <v>1224</v>
      </c>
      <c r="B796" s="67">
        <v>66</v>
      </c>
      <c r="C796" s="69" t="s">
        <v>35</v>
      </c>
      <c r="D796" s="71" t="s">
        <v>12</v>
      </c>
      <c r="E796" s="70">
        <v>71.790940000000006</v>
      </c>
      <c r="F796" s="74">
        <v>2.3603000000000001</v>
      </c>
      <c r="G796" s="70">
        <v>5.7360899999999999</v>
      </c>
      <c r="H796" s="74">
        <v>0.18859999999999999</v>
      </c>
    </row>
    <row r="797" spans="1:8" ht="15.6">
      <c r="A797" s="468" t="s">
        <v>1225</v>
      </c>
      <c r="B797" s="67">
        <v>67</v>
      </c>
      <c r="C797" s="69" t="s">
        <v>35</v>
      </c>
      <c r="D797" s="71" t="s">
        <v>51</v>
      </c>
      <c r="E797" s="70">
        <v>61.301139999999997</v>
      </c>
      <c r="F797" s="74">
        <v>2.0154000000000001</v>
      </c>
      <c r="G797" s="70">
        <v>4.8530199999999999</v>
      </c>
      <c r="H797" s="74">
        <v>0.15959999999999999</v>
      </c>
    </row>
    <row r="798" spans="1:8" ht="15.6">
      <c r="A798" s="468" t="s">
        <v>1226</v>
      </c>
      <c r="B798" s="67">
        <v>68</v>
      </c>
      <c r="C798" s="69" t="s">
        <v>35</v>
      </c>
      <c r="D798" s="71" t="s">
        <v>13</v>
      </c>
      <c r="E798" s="70">
        <v>57.004179999999998</v>
      </c>
      <c r="F798" s="74">
        <v>1.8741000000000001</v>
      </c>
      <c r="G798" s="70">
        <v>4.49125</v>
      </c>
      <c r="H798" s="74">
        <v>0.1477</v>
      </c>
    </row>
    <row r="799" spans="1:8" ht="15.6">
      <c r="A799" s="468" t="s">
        <v>1227</v>
      </c>
      <c r="B799" s="67">
        <v>69</v>
      </c>
      <c r="C799" s="69" t="s">
        <v>35</v>
      </c>
      <c r="D799" s="71" t="s">
        <v>9</v>
      </c>
      <c r="E799" s="70">
        <v>50.503230000000002</v>
      </c>
      <c r="F799" s="74">
        <v>1.6604000000000001</v>
      </c>
      <c r="G799" s="70">
        <v>3.9439700000000002</v>
      </c>
      <c r="H799" s="74">
        <v>0.12970000000000001</v>
      </c>
    </row>
    <row r="800" spans="1:8" ht="15.6">
      <c r="A800" s="468" t="s">
        <v>1228</v>
      </c>
      <c r="B800" s="67">
        <v>70</v>
      </c>
      <c r="C800" s="69" t="s">
        <v>35</v>
      </c>
      <c r="D800" s="71" t="s">
        <v>14</v>
      </c>
      <c r="E800" s="70">
        <v>50.480110000000003</v>
      </c>
      <c r="F800" s="74">
        <v>1.6596</v>
      </c>
      <c r="G800" s="70">
        <v>3.9419900000000001</v>
      </c>
      <c r="H800" s="74">
        <v>0.12959999999999999</v>
      </c>
    </row>
    <row r="801" spans="1:8" ht="15.6">
      <c r="A801" s="468" t="s">
        <v>1229</v>
      </c>
      <c r="B801" s="67">
        <v>71</v>
      </c>
      <c r="C801" s="69" t="s">
        <v>35</v>
      </c>
      <c r="D801" s="71" t="s">
        <v>33</v>
      </c>
      <c r="E801" s="70">
        <v>40.641840000000002</v>
      </c>
      <c r="F801" s="74">
        <v>1.3362000000000001</v>
      </c>
      <c r="G801" s="70">
        <v>3.11375</v>
      </c>
      <c r="H801" s="74">
        <v>0.1024</v>
      </c>
    </row>
    <row r="802" spans="1:8" ht="15.6">
      <c r="A802" s="468" t="s">
        <v>1230</v>
      </c>
      <c r="B802" s="67">
        <v>72</v>
      </c>
      <c r="C802" s="69" t="s">
        <v>35</v>
      </c>
      <c r="D802" s="71" t="s">
        <v>25</v>
      </c>
      <c r="E802" s="70">
        <v>36.042230000000004</v>
      </c>
      <c r="F802" s="74">
        <v>1.1850000000000001</v>
      </c>
      <c r="G802" s="70">
        <v>2.7265600000000001</v>
      </c>
      <c r="H802" s="74">
        <v>8.9599999999999999E-2</v>
      </c>
    </row>
    <row r="803" spans="1:8" ht="15.6">
      <c r="A803" s="468" t="s">
        <v>1231</v>
      </c>
      <c r="B803" s="67">
        <v>73</v>
      </c>
      <c r="C803" s="69" t="s">
        <v>35</v>
      </c>
      <c r="D803" s="71" t="s">
        <v>31</v>
      </c>
      <c r="E803" s="70">
        <v>17.851849999999999</v>
      </c>
      <c r="F803" s="74">
        <v>0.58689999999999998</v>
      </c>
      <c r="G803" s="70">
        <v>1.1951799999999999</v>
      </c>
      <c r="H803" s="74">
        <v>3.9300000000000002E-2</v>
      </c>
    </row>
    <row r="804" spans="1:8" ht="15.6">
      <c r="A804" s="468" t="s">
        <v>1232</v>
      </c>
      <c r="B804" s="67">
        <v>74</v>
      </c>
      <c r="C804" s="69" t="s">
        <v>35</v>
      </c>
      <c r="D804" s="71" t="s">
        <v>45</v>
      </c>
      <c r="E804" s="70">
        <v>28.045079999999999</v>
      </c>
      <c r="F804" s="74">
        <v>0.92200000000000004</v>
      </c>
      <c r="G804" s="70">
        <v>2.0533199999999998</v>
      </c>
      <c r="H804" s="74">
        <v>6.7500000000000004E-2</v>
      </c>
    </row>
    <row r="805" spans="1:8" ht="15.6">
      <c r="A805" s="468" t="s">
        <v>1233</v>
      </c>
      <c r="B805" s="67">
        <v>75</v>
      </c>
      <c r="C805" s="69" t="s">
        <v>35</v>
      </c>
      <c r="D805" s="71" t="s">
        <v>27</v>
      </c>
      <c r="E805" s="70">
        <v>21.74944</v>
      </c>
      <c r="F805" s="74">
        <v>0.71509999999999996</v>
      </c>
      <c r="G805" s="70">
        <v>1.52328</v>
      </c>
      <c r="H805" s="74">
        <v>5.0099999999999999E-2</v>
      </c>
    </row>
    <row r="806" spans="1:8" ht="15.6">
      <c r="A806" s="468" t="s">
        <v>1234</v>
      </c>
      <c r="B806" s="67">
        <v>76</v>
      </c>
      <c r="C806" s="69" t="s">
        <v>35</v>
      </c>
      <c r="D806" s="71" t="s">
        <v>21</v>
      </c>
      <c r="E806" s="70">
        <v>17.070139999999999</v>
      </c>
      <c r="F806" s="74">
        <v>0.56120000000000003</v>
      </c>
      <c r="G806" s="70">
        <v>1.1293899999999999</v>
      </c>
      <c r="H806" s="74">
        <v>3.7100000000000001E-2</v>
      </c>
    </row>
    <row r="807" spans="1:8" ht="15.6">
      <c r="A807" s="468" t="s">
        <v>1235</v>
      </c>
      <c r="B807" s="67">
        <v>77</v>
      </c>
      <c r="C807" s="69" t="s">
        <v>35</v>
      </c>
      <c r="D807" s="71" t="s">
        <v>32</v>
      </c>
      <c r="E807" s="70">
        <v>23.31711</v>
      </c>
      <c r="F807" s="74">
        <v>0.76659999999999995</v>
      </c>
      <c r="G807" s="70">
        <v>1.6552800000000001</v>
      </c>
      <c r="H807" s="74">
        <v>5.4399999999999997E-2</v>
      </c>
    </row>
    <row r="808" spans="1:8" ht="15.6">
      <c r="A808" s="468" t="s">
        <v>1236</v>
      </c>
      <c r="B808" s="67">
        <v>1</v>
      </c>
      <c r="C808" s="69" t="s">
        <v>35</v>
      </c>
      <c r="D808" s="71" t="s">
        <v>30</v>
      </c>
      <c r="E808" s="70">
        <v>9.4163899999999998</v>
      </c>
      <c r="F808" s="74">
        <v>0.30959999999999999</v>
      </c>
      <c r="G808" s="70">
        <v>0.48505999999999999</v>
      </c>
      <c r="H808" s="74">
        <v>1.6E-2</v>
      </c>
    </row>
    <row r="809" spans="1:8" ht="15.6">
      <c r="A809" s="468" t="s">
        <v>1237</v>
      </c>
      <c r="B809" s="67">
        <v>2</v>
      </c>
      <c r="C809" s="69" t="s">
        <v>35</v>
      </c>
      <c r="D809" s="71" t="s">
        <v>28</v>
      </c>
      <c r="E809" s="70">
        <v>4.8356399999999997</v>
      </c>
      <c r="F809" s="74">
        <v>0.159</v>
      </c>
      <c r="G809" s="70">
        <v>9.9400000000000002E-2</v>
      </c>
      <c r="H809" s="74">
        <v>3.3E-3</v>
      </c>
    </row>
    <row r="810" spans="1:8" ht="15.6">
      <c r="A810" s="468" t="s">
        <v>1238</v>
      </c>
      <c r="B810" s="67">
        <v>3</v>
      </c>
      <c r="C810" s="69" t="s">
        <v>35</v>
      </c>
      <c r="D810" s="71" t="s">
        <v>79</v>
      </c>
      <c r="E810" s="70">
        <v>5.2447499999999998</v>
      </c>
      <c r="F810" s="74">
        <v>0.1724</v>
      </c>
      <c r="G810" s="70">
        <v>0.13383999999999999</v>
      </c>
      <c r="H810" s="74">
        <v>4.4000000000000003E-3</v>
      </c>
    </row>
    <row r="811" spans="1:8" ht="15.6">
      <c r="A811" s="468" t="s">
        <v>1239</v>
      </c>
      <c r="B811" s="67">
        <v>4</v>
      </c>
      <c r="C811" s="69" t="s">
        <v>35</v>
      </c>
      <c r="D811" s="71" t="s">
        <v>29</v>
      </c>
      <c r="E811" s="70">
        <v>12.76557</v>
      </c>
      <c r="F811" s="74">
        <v>0.41970000000000002</v>
      </c>
      <c r="G811" s="70">
        <v>0.76700000000000002</v>
      </c>
      <c r="H811" s="74">
        <v>2.52E-2</v>
      </c>
    </row>
    <row r="812" spans="1:8" ht="15.6">
      <c r="A812" s="468" t="s">
        <v>1240</v>
      </c>
      <c r="B812" s="67">
        <v>5</v>
      </c>
      <c r="C812" s="69" t="s">
        <v>35</v>
      </c>
      <c r="D812" s="71" t="s">
        <v>43</v>
      </c>
      <c r="E812" s="70">
        <v>4.9661299999999997</v>
      </c>
      <c r="F812" s="74">
        <v>0.1633</v>
      </c>
      <c r="G812" s="70">
        <v>0.11039</v>
      </c>
      <c r="H812" s="74">
        <v>3.5999999999999999E-3</v>
      </c>
    </row>
    <row r="813" spans="1:8" ht="15.6">
      <c r="A813" s="468" t="s">
        <v>1241</v>
      </c>
      <c r="B813" s="67">
        <v>6</v>
      </c>
      <c r="C813" s="69" t="s">
        <v>35</v>
      </c>
      <c r="D813" s="71" t="s">
        <v>18</v>
      </c>
      <c r="E813" s="70">
        <v>6.7266500000000002</v>
      </c>
      <c r="F813" s="74">
        <v>0.22120000000000001</v>
      </c>
      <c r="G813" s="70">
        <v>0.25858999999999999</v>
      </c>
      <c r="H813" s="74">
        <v>8.5000000000000006E-3</v>
      </c>
    </row>
    <row r="814" spans="1:8" ht="15.6">
      <c r="A814" s="468" t="s">
        <v>1242</v>
      </c>
      <c r="B814" s="67">
        <v>7</v>
      </c>
      <c r="C814" s="69" t="s">
        <v>35</v>
      </c>
      <c r="D814" s="71" t="s">
        <v>76</v>
      </c>
      <c r="E814" s="70">
        <v>4.9661299999999997</v>
      </c>
      <c r="F814" s="74">
        <v>0.1633</v>
      </c>
      <c r="G814" s="70">
        <v>0.11039</v>
      </c>
      <c r="H814" s="74">
        <v>3.5999999999999999E-3</v>
      </c>
    </row>
    <row r="815" spans="1:8" ht="15.6">
      <c r="A815" s="468" t="s">
        <v>1243</v>
      </c>
      <c r="B815" s="67">
        <v>8</v>
      </c>
      <c r="C815" s="69" t="s">
        <v>35</v>
      </c>
      <c r="D815" s="71" t="s">
        <v>19</v>
      </c>
      <c r="E815" s="70">
        <v>16.089200000000002</v>
      </c>
      <c r="F815" s="74">
        <v>0.52900000000000003</v>
      </c>
      <c r="G815" s="70">
        <v>1.0467900000000001</v>
      </c>
      <c r="H815" s="74">
        <v>3.44E-2</v>
      </c>
    </row>
    <row r="816" spans="1:8" ht="15.6">
      <c r="A816" s="468" t="s">
        <v>1244</v>
      </c>
      <c r="B816" s="67">
        <v>9</v>
      </c>
      <c r="C816" s="69" t="s">
        <v>35</v>
      </c>
      <c r="D816" s="71" t="s">
        <v>23</v>
      </c>
      <c r="E816" s="70">
        <v>12.313879999999999</v>
      </c>
      <c r="F816" s="74">
        <v>0.40479999999999999</v>
      </c>
      <c r="G816" s="70">
        <v>0.72899000000000003</v>
      </c>
      <c r="H816" s="74">
        <v>2.4E-2</v>
      </c>
    </row>
    <row r="817" spans="1:8" ht="15.6">
      <c r="A817" s="468" t="s">
        <v>1245</v>
      </c>
      <c r="B817" s="67">
        <v>10</v>
      </c>
      <c r="C817" s="69" t="s">
        <v>35</v>
      </c>
      <c r="D817" s="71" t="s">
        <v>20</v>
      </c>
      <c r="E817" s="70">
        <v>20.398029999999999</v>
      </c>
      <c r="F817" s="74">
        <v>0.67059999999999997</v>
      </c>
      <c r="G817" s="70">
        <v>1.40954</v>
      </c>
      <c r="H817" s="74">
        <v>4.6300000000000001E-2</v>
      </c>
    </row>
    <row r="818" spans="1:8" ht="15.6">
      <c r="A818" s="468" t="s">
        <v>1246</v>
      </c>
      <c r="B818" s="67">
        <v>11</v>
      </c>
      <c r="C818" s="69" t="s">
        <v>35</v>
      </c>
      <c r="D818" s="71" t="s">
        <v>53</v>
      </c>
      <c r="E818" s="70">
        <v>8.6042699999999996</v>
      </c>
      <c r="F818" s="74">
        <v>0.28289999999999998</v>
      </c>
      <c r="G818" s="70">
        <v>0.41665000000000002</v>
      </c>
      <c r="H818" s="74">
        <v>1.37E-2</v>
      </c>
    </row>
    <row r="819" spans="1:8" ht="15.6">
      <c r="A819" s="468" t="s">
        <v>1247</v>
      </c>
      <c r="B819" s="67">
        <v>12</v>
      </c>
      <c r="C819" s="69" t="s">
        <v>35</v>
      </c>
      <c r="D819" s="71" t="s">
        <v>41</v>
      </c>
      <c r="E819" s="70">
        <v>8.6912599999999998</v>
      </c>
      <c r="F819" s="74">
        <v>0.28570000000000001</v>
      </c>
      <c r="G819" s="70">
        <v>0.42398000000000002</v>
      </c>
      <c r="H819" s="74">
        <v>1.3899999999999999E-2</v>
      </c>
    </row>
    <row r="820" spans="1:8" ht="15.6">
      <c r="A820" s="468" t="s">
        <v>1248</v>
      </c>
      <c r="B820" s="67">
        <v>13</v>
      </c>
      <c r="C820" s="69" t="s">
        <v>35</v>
      </c>
      <c r="D820" s="71" t="s">
        <v>36</v>
      </c>
      <c r="E820" s="70">
        <v>6.7932600000000001</v>
      </c>
      <c r="F820" s="74">
        <v>0.2233</v>
      </c>
      <c r="G820" s="70">
        <v>0.26418999999999998</v>
      </c>
      <c r="H820" s="74">
        <v>8.6999999999999994E-3</v>
      </c>
    </row>
    <row r="821" spans="1:8" ht="15.6">
      <c r="A821" s="468" t="s">
        <v>1249</v>
      </c>
      <c r="B821" s="67">
        <v>14</v>
      </c>
      <c r="C821" s="69" t="s">
        <v>35</v>
      </c>
      <c r="D821" s="71" t="s">
        <v>15</v>
      </c>
      <c r="E821" s="70">
        <v>16.312149999999999</v>
      </c>
      <c r="F821" s="74">
        <v>0.5363</v>
      </c>
      <c r="G821" s="70">
        <v>1.06558</v>
      </c>
      <c r="H821" s="74">
        <v>3.5000000000000003E-2</v>
      </c>
    </row>
    <row r="822" spans="1:8" ht="15.6">
      <c r="A822" s="468" t="s">
        <v>1250</v>
      </c>
      <c r="B822" s="67">
        <v>15</v>
      </c>
      <c r="C822" s="69" t="s">
        <v>35</v>
      </c>
      <c r="D822" s="71" t="s">
        <v>16</v>
      </c>
      <c r="E822" s="70">
        <v>24.924939999999999</v>
      </c>
      <c r="F822" s="74">
        <v>0.81950000000000001</v>
      </c>
      <c r="G822" s="70">
        <v>1.79064</v>
      </c>
      <c r="H822" s="74">
        <v>5.8900000000000001E-2</v>
      </c>
    </row>
    <row r="823" spans="1:8" ht="15.6">
      <c r="A823" s="468" t="s">
        <v>1251</v>
      </c>
      <c r="B823" s="67">
        <v>16</v>
      </c>
      <c r="C823" s="69" t="s">
        <v>35</v>
      </c>
      <c r="D823" s="71" t="s">
        <v>17</v>
      </c>
      <c r="E823" s="70">
        <v>47.0488</v>
      </c>
      <c r="F823" s="74">
        <v>1.5468</v>
      </c>
      <c r="G823" s="70">
        <v>3.6531400000000001</v>
      </c>
      <c r="H823" s="74">
        <v>0.1201</v>
      </c>
    </row>
    <row r="824" spans="1:8" ht="15.6">
      <c r="A824" s="468" t="s">
        <v>1252</v>
      </c>
      <c r="B824" s="67">
        <v>17</v>
      </c>
      <c r="C824" s="69" t="s">
        <v>35</v>
      </c>
      <c r="D824" s="71" t="s">
        <v>10</v>
      </c>
      <c r="E824" s="70">
        <v>47.0488</v>
      </c>
      <c r="F824" s="74">
        <v>1.5468</v>
      </c>
      <c r="G824" s="70">
        <v>3.6531400000000001</v>
      </c>
      <c r="H824" s="74">
        <v>0.1201</v>
      </c>
    </row>
    <row r="825" spans="1:8" ht="15.6">
      <c r="A825" s="468" t="s">
        <v>1253</v>
      </c>
      <c r="B825" s="67">
        <v>18</v>
      </c>
      <c r="C825" s="69" t="s">
        <v>35</v>
      </c>
      <c r="D825" s="71" t="s">
        <v>22</v>
      </c>
      <c r="E825" s="70">
        <v>15.288029999999999</v>
      </c>
      <c r="F825" s="74">
        <v>0.50260000000000005</v>
      </c>
      <c r="G825" s="70">
        <v>0.97936000000000001</v>
      </c>
      <c r="H825" s="74">
        <v>3.2199999999999999E-2</v>
      </c>
    </row>
    <row r="826" spans="1:8" ht="15.6">
      <c r="A826" s="468" t="s">
        <v>1254</v>
      </c>
      <c r="B826" s="67">
        <v>19</v>
      </c>
      <c r="C826" s="69" t="s">
        <v>35</v>
      </c>
      <c r="D826" s="71" t="s">
        <v>35</v>
      </c>
      <c r="E826" s="70">
        <v>4.0423799999999996</v>
      </c>
      <c r="F826" s="74">
        <v>0.13289999999999999</v>
      </c>
      <c r="G826" s="70">
        <v>3.261E-2</v>
      </c>
      <c r="H826" s="74">
        <v>1.1000000000000001E-3</v>
      </c>
    </row>
    <row r="827" spans="1:8" ht="15.6">
      <c r="A827" s="468" t="s">
        <v>1255</v>
      </c>
      <c r="B827" s="67">
        <v>20</v>
      </c>
      <c r="C827" s="69" t="s">
        <v>35</v>
      </c>
      <c r="D827" s="71" t="s">
        <v>24</v>
      </c>
      <c r="E827" s="70">
        <v>20.027249999999999</v>
      </c>
      <c r="F827" s="74">
        <v>0.65839999999999999</v>
      </c>
      <c r="G827" s="70">
        <v>1.3783099999999999</v>
      </c>
      <c r="H827" s="74">
        <v>4.53E-2</v>
      </c>
    </row>
    <row r="828" spans="1:8" ht="15.6">
      <c r="A828" s="468" t="s">
        <v>1256</v>
      </c>
      <c r="B828" s="67">
        <v>21</v>
      </c>
      <c r="C828" s="69" t="s">
        <v>35</v>
      </c>
      <c r="D828" s="71" t="s">
        <v>37</v>
      </c>
      <c r="E828" s="70">
        <v>6.7351599999999996</v>
      </c>
      <c r="F828" s="74">
        <v>0.22140000000000001</v>
      </c>
      <c r="G828" s="70">
        <v>0.25931999999999999</v>
      </c>
      <c r="H828" s="74">
        <v>8.5000000000000006E-3</v>
      </c>
    </row>
    <row r="829" spans="1:8" ht="15.6">
      <c r="A829" s="468" t="s">
        <v>1257</v>
      </c>
      <c r="B829" s="67">
        <v>22</v>
      </c>
      <c r="C829" s="69" t="s">
        <v>35</v>
      </c>
      <c r="D829" s="71" t="s">
        <v>38</v>
      </c>
      <c r="E829" s="70">
        <v>13.657690000000001</v>
      </c>
      <c r="F829" s="74">
        <v>0.44900000000000001</v>
      </c>
      <c r="G829" s="70">
        <v>0.84211000000000003</v>
      </c>
      <c r="H829" s="74">
        <v>2.7699999999999999E-2</v>
      </c>
    </row>
    <row r="830" spans="1:8" ht="15.6">
      <c r="A830" s="468" t="s">
        <v>1258</v>
      </c>
      <c r="B830" s="67">
        <v>23</v>
      </c>
      <c r="C830" s="69" t="s">
        <v>35</v>
      </c>
      <c r="D830" s="71" t="s">
        <v>26</v>
      </c>
      <c r="E830" s="70">
        <v>20.44943</v>
      </c>
      <c r="F830" s="74">
        <v>0.67230000000000001</v>
      </c>
      <c r="G830" s="70">
        <v>1.4138500000000001</v>
      </c>
      <c r="H830" s="74">
        <v>4.65E-2</v>
      </c>
    </row>
    <row r="831" spans="1:8" ht="15.6">
      <c r="A831" s="468" t="s">
        <v>1259</v>
      </c>
      <c r="B831" s="67">
        <v>24</v>
      </c>
      <c r="C831" s="69" t="s">
        <v>35</v>
      </c>
      <c r="D831" s="71" t="s">
        <v>52</v>
      </c>
      <c r="E831" s="70">
        <v>50.480110000000003</v>
      </c>
      <c r="F831" s="74">
        <v>1.6596</v>
      </c>
      <c r="G831" s="70">
        <v>3.9419900000000001</v>
      </c>
      <c r="H831" s="74">
        <v>0.12959999999999999</v>
      </c>
    </row>
    <row r="832" spans="1:8" ht="15.6">
      <c r="A832" s="468" t="s">
        <v>1260</v>
      </c>
      <c r="B832" s="67">
        <v>25</v>
      </c>
      <c r="C832" s="69" t="s">
        <v>35</v>
      </c>
      <c r="D832" s="71" t="s">
        <v>40</v>
      </c>
      <c r="E832" s="70">
        <v>9.1800499999999996</v>
      </c>
      <c r="F832" s="74">
        <v>0.30180000000000001</v>
      </c>
      <c r="G832" s="70">
        <v>0.46515000000000001</v>
      </c>
      <c r="H832" s="74">
        <v>1.5299999999999999E-2</v>
      </c>
    </row>
    <row r="833" spans="1:8" ht="15.6">
      <c r="A833" s="468" t="s">
        <v>1261</v>
      </c>
      <c r="B833" s="67">
        <v>26</v>
      </c>
      <c r="C833" s="69" t="s">
        <v>35</v>
      </c>
      <c r="D833" s="71" t="s">
        <v>34</v>
      </c>
      <c r="E833" s="70">
        <v>57.004179999999998</v>
      </c>
      <c r="F833" s="74">
        <v>1.8741000000000001</v>
      </c>
      <c r="G833" s="70">
        <v>4.49125</v>
      </c>
      <c r="H833" s="74">
        <v>0.1477</v>
      </c>
    </row>
    <row r="834" spans="1:8" ht="15.6">
      <c r="A834" s="468" t="s">
        <v>1262</v>
      </c>
      <c r="B834" s="67">
        <v>27</v>
      </c>
      <c r="C834" s="69" t="s">
        <v>35</v>
      </c>
      <c r="D834" s="71" t="s">
        <v>54</v>
      </c>
      <c r="E834" s="70">
        <v>8.6042699999999996</v>
      </c>
      <c r="F834" s="74">
        <v>0.28289999999999998</v>
      </c>
      <c r="G834" s="70">
        <v>0.41665000000000002</v>
      </c>
      <c r="H834" s="74">
        <v>1.37E-2</v>
      </c>
    </row>
    <row r="835" spans="1:8" ht="15.6">
      <c r="A835" s="468" t="s">
        <v>1263</v>
      </c>
      <c r="B835" s="67">
        <v>28</v>
      </c>
      <c r="C835" s="69" t="s">
        <v>23</v>
      </c>
      <c r="D835" s="71" t="s">
        <v>12</v>
      </c>
      <c r="E835" s="70" t="s">
        <v>286</v>
      </c>
      <c r="F835" s="74">
        <v>2.6179999999999999</v>
      </c>
      <c r="G835" s="70" t="s">
        <v>286</v>
      </c>
      <c r="H835" s="74">
        <v>0.21029999999999999</v>
      </c>
    </row>
    <row r="836" spans="1:8" ht="15.6">
      <c r="A836" s="468" t="s">
        <v>1264</v>
      </c>
      <c r="B836" s="67">
        <v>29</v>
      </c>
      <c r="C836" s="69" t="s">
        <v>23</v>
      </c>
      <c r="D836" s="71" t="s">
        <v>51</v>
      </c>
      <c r="E836" s="70" t="s">
        <v>286</v>
      </c>
      <c r="F836" s="74">
        <v>2.2730999999999999</v>
      </c>
      <c r="G836" s="70" t="s">
        <v>286</v>
      </c>
      <c r="H836" s="74">
        <v>0.18129999999999999</v>
      </c>
    </row>
    <row r="837" spans="1:8" ht="15.6">
      <c r="A837" s="468" t="s">
        <v>1265</v>
      </c>
      <c r="B837" s="67">
        <v>30</v>
      </c>
      <c r="C837" s="69" t="s">
        <v>23</v>
      </c>
      <c r="D837" s="71" t="s">
        <v>13</v>
      </c>
      <c r="E837" s="70" t="s">
        <v>286</v>
      </c>
      <c r="F837" s="74">
        <v>2.1318000000000001</v>
      </c>
      <c r="G837" s="70" t="s">
        <v>286</v>
      </c>
      <c r="H837" s="74">
        <v>0.1694</v>
      </c>
    </row>
    <row r="838" spans="1:8" ht="15.6">
      <c r="A838" s="468" t="s">
        <v>1266</v>
      </c>
      <c r="B838" s="67">
        <v>31</v>
      </c>
      <c r="C838" s="69" t="s">
        <v>23</v>
      </c>
      <c r="D838" s="71" t="s">
        <v>9</v>
      </c>
      <c r="E838" s="70" t="s">
        <v>286</v>
      </c>
      <c r="F838" s="74">
        <v>1.9177</v>
      </c>
      <c r="G838" s="70" t="s">
        <v>286</v>
      </c>
      <c r="H838" s="74">
        <v>0.15129999999999999</v>
      </c>
    </row>
    <row r="839" spans="1:8" ht="15.6">
      <c r="A839" s="468" t="s">
        <v>1267</v>
      </c>
      <c r="B839" s="67">
        <v>32</v>
      </c>
      <c r="C839" s="69" t="s">
        <v>23</v>
      </c>
      <c r="D839" s="71" t="s">
        <v>14</v>
      </c>
      <c r="E839" s="70" t="s">
        <v>286</v>
      </c>
      <c r="F839" s="74">
        <v>1.8212999999999999</v>
      </c>
      <c r="G839" s="70" t="s">
        <v>286</v>
      </c>
      <c r="H839" s="74">
        <v>0.14319999999999999</v>
      </c>
    </row>
    <row r="840" spans="1:8" ht="15.6">
      <c r="A840" s="468" t="s">
        <v>1268</v>
      </c>
      <c r="B840" s="67">
        <v>33</v>
      </c>
      <c r="C840" s="69" t="s">
        <v>23</v>
      </c>
      <c r="D840" s="71" t="s">
        <v>33</v>
      </c>
      <c r="E840" s="70" t="s">
        <v>286</v>
      </c>
      <c r="F840" s="74">
        <v>1.4529000000000001</v>
      </c>
      <c r="G840" s="70" t="s">
        <v>286</v>
      </c>
      <c r="H840" s="74">
        <v>0.11219999999999999</v>
      </c>
    </row>
    <row r="841" spans="1:8" ht="15.6">
      <c r="A841" s="468" t="s">
        <v>1269</v>
      </c>
      <c r="B841" s="67">
        <v>34</v>
      </c>
      <c r="C841" s="69" t="s">
        <v>23</v>
      </c>
      <c r="D841" s="71" t="s">
        <v>25</v>
      </c>
      <c r="E841" s="70" t="s">
        <v>286</v>
      </c>
      <c r="F841" s="74">
        <v>1.3017000000000001</v>
      </c>
      <c r="G841" s="70" t="s">
        <v>286</v>
      </c>
      <c r="H841" s="74">
        <v>9.9500000000000005E-2</v>
      </c>
    </row>
    <row r="842" spans="1:8" ht="15.6">
      <c r="A842" s="468" t="s">
        <v>1270</v>
      </c>
      <c r="B842" s="67">
        <v>35</v>
      </c>
      <c r="C842" s="69" t="s">
        <v>23</v>
      </c>
      <c r="D842" s="71" t="s">
        <v>31</v>
      </c>
      <c r="E842" s="70" t="s">
        <v>286</v>
      </c>
      <c r="F842" s="74">
        <v>0.70420000000000005</v>
      </c>
      <c r="G842" s="70" t="s">
        <v>286</v>
      </c>
      <c r="H842" s="74">
        <v>4.9200000000000001E-2</v>
      </c>
    </row>
    <row r="843" spans="1:8" ht="15.6">
      <c r="A843" s="468" t="s">
        <v>1271</v>
      </c>
      <c r="B843" s="67">
        <v>36</v>
      </c>
      <c r="C843" s="69" t="s">
        <v>23</v>
      </c>
      <c r="D843" s="71" t="s">
        <v>45</v>
      </c>
      <c r="E843" s="70" t="s">
        <v>286</v>
      </c>
      <c r="F843" s="74">
        <v>1.0387999999999999</v>
      </c>
      <c r="G843" s="70" t="s">
        <v>286</v>
      </c>
      <c r="H843" s="74">
        <v>7.7299999999999994E-2</v>
      </c>
    </row>
    <row r="844" spans="1:8" ht="15.6">
      <c r="A844" s="468" t="s">
        <v>1272</v>
      </c>
      <c r="B844" s="67">
        <v>37</v>
      </c>
      <c r="C844" s="69" t="s">
        <v>23</v>
      </c>
      <c r="D844" s="71" t="s">
        <v>27</v>
      </c>
      <c r="E844" s="70" t="s">
        <v>286</v>
      </c>
      <c r="F844" s="74">
        <v>0.83179999999999998</v>
      </c>
      <c r="G844" s="70" t="s">
        <v>286</v>
      </c>
      <c r="H844" s="74">
        <v>5.9900000000000002E-2</v>
      </c>
    </row>
    <row r="845" spans="1:8" ht="15.6">
      <c r="A845" s="468" t="s">
        <v>1273</v>
      </c>
      <c r="B845" s="67">
        <v>38</v>
      </c>
      <c r="C845" s="69" t="s">
        <v>23</v>
      </c>
      <c r="D845" s="71" t="s">
        <v>21</v>
      </c>
      <c r="E845" s="70" t="s">
        <v>286</v>
      </c>
      <c r="F845" s="74">
        <v>0.67800000000000005</v>
      </c>
      <c r="G845" s="70" t="s">
        <v>286</v>
      </c>
      <c r="H845" s="74">
        <v>4.7E-2</v>
      </c>
    </row>
    <row r="846" spans="1:8" ht="15.6">
      <c r="A846" s="468" t="s">
        <v>1274</v>
      </c>
      <c r="B846" s="67">
        <v>39</v>
      </c>
      <c r="C846" s="69" t="s">
        <v>23</v>
      </c>
      <c r="D846" s="71" t="s">
        <v>32</v>
      </c>
      <c r="E846" s="70" t="s">
        <v>286</v>
      </c>
      <c r="F846" s="74">
        <v>1.0385</v>
      </c>
      <c r="G846" s="70" t="s">
        <v>286</v>
      </c>
      <c r="H846" s="74">
        <v>7.7299999999999994E-2</v>
      </c>
    </row>
    <row r="847" spans="1:8" ht="15.6">
      <c r="A847" s="468" t="s">
        <v>1275</v>
      </c>
      <c r="B847" s="67">
        <v>40</v>
      </c>
      <c r="C847" s="69" t="s">
        <v>23</v>
      </c>
      <c r="D847" s="71" t="s">
        <v>30</v>
      </c>
      <c r="E847" s="70" t="s">
        <v>286</v>
      </c>
      <c r="F847" s="74">
        <v>0.44679999999999997</v>
      </c>
      <c r="G847" s="70" t="s">
        <v>286</v>
      </c>
      <c r="H847" s="74">
        <v>2.75E-2</v>
      </c>
    </row>
    <row r="848" spans="1:8" ht="15.6">
      <c r="A848" s="468" t="s">
        <v>1276</v>
      </c>
      <c r="B848" s="67">
        <v>41</v>
      </c>
      <c r="C848" s="69" t="s">
        <v>23</v>
      </c>
      <c r="D848" s="71" t="s">
        <v>28</v>
      </c>
      <c r="E848" s="70" t="s">
        <v>286</v>
      </c>
      <c r="F848" s="74">
        <v>0.42299999999999999</v>
      </c>
      <c r="G848" s="70" t="s">
        <v>286</v>
      </c>
      <c r="H848" s="74">
        <v>2.5499999999999998E-2</v>
      </c>
    </row>
    <row r="849" spans="1:8" ht="15.6">
      <c r="A849" s="468" t="s">
        <v>1277</v>
      </c>
      <c r="B849" s="67">
        <v>42</v>
      </c>
      <c r="C849" s="69" t="s">
        <v>23</v>
      </c>
      <c r="D849" s="71" t="s">
        <v>79</v>
      </c>
      <c r="E849" s="70" t="s">
        <v>286</v>
      </c>
      <c r="F849" s="74">
        <v>0.3836</v>
      </c>
      <c r="G849" s="70" t="s">
        <v>286</v>
      </c>
      <c r="H849" s="74">
        <v>2.2200000000000001E-2</v>
      </c>
    </row>
    <row r="850" spans="1:8" ht="15.6">
      <c r="A850" s="468" t="s">
        <v>1278</v>
      </c>
      <c r="B850" s="67">
        <v>43</v>
      </c>
      <c r="C850" s="69" t="s">
        <v>23</v>
      </c>
      <c r="D850" s="71" t="s">
        <v>29</v>
      </c>
      <c r="E850" s="70" t="s">
        <v>286</v>
      </c>
      <c r="F850" s="74">
        <v>0.1971</v>
      </c>
      <c r="G850" s="70" t="s">
        <v>286</v>
      </c>
      <c r="H850" s="74">
        <v>6.4999999999999997E-3</v>
      </c>
    </row>
    <row r="851" spans="1:8" ht="15.6">
      <c r="A851" s="468" t="s">
        <v>1279</v>
      </c>
      <c r="B851" s="67">
        <v>44</v>
      </c>
      <c r="C851" s="69" t="s">
        <v>23</v>
      </c>
      <c r="D851" s="71" t="s">
        <v>43</v>
      </c>
      <c r="E851" s="70" t="s">
        <v>286</v>
      </c>
      <c r="F851" s="74">
        <v>0.3745</v>
      </c>
      <c r="G851" s="70" t="s">
        <v>286</v>
      </c>
      <c r="H851" s="74">
        <v>2.1399999999999999E-2</v>
      </c>
    </row>
    <row r="852" spans="1:8" ht="15.6">
      <c r="A852" s="468" t="s">
        <v>1280</v>
      </c>
      <c r="B852" s="67">
        <v>45</v>
      </c>
      <c r="C852" s="69" t="s">
        <v>23</v>
      </c>
      <c r="D852" s="71" t="s">
        <v>18</v>
      </c>
      <c r="E852" s="70" t="s">
        <v>286</v>
      </c>
      <c r="F852" s="74">
        <v>0.35099999999999998</v>
      </c>
      <c r="G852" s="70" t="s">
        <v>286</v>
      </c>
      <c r="H852" s="74">
        <v>1.9400000000000001E-2</v>
      </c>
    </row>
    <row r="853" spans="1:8" ht="15.6">
      <c r="A853" s="468" t="s">
        <v>1281</v>
      </c>
      <c r="B853" s="67">
        <v>46</v>
      </c>
      <c r="C853" s="69" t="s">
        <v>23</v>
      </c>
      <c r="D853" s="71" t="s">
        <v>76</v>
      </c>
      <c r="E853" s="70" t="s">
        <v>286</v>
      </c>
      <c r="F853" s="74">
        <v>0.3745</v>
      </c>
      <c r="G853" s="70" t="s">
        <v>286</v>
      </c>
      <c r="H853" s="74">
        <v>2.1399999999999999E-2</v>
      </c>
    </row>
    <row r="854" spans="1:8" ht="15.6">
      <c r="A854" s="468" t="s">
        <v>1282</v>
      </c>
      <c r="B854" s="67">
        <v>47</v>
      </c>
      <c r="C854" s="69" t="s">
        <v>23</v>
      </c>
      <c r="D854" s="71" t="s">
        <v>19</v>
      </c>
      <c r="E854" s="70" t="s">
        <v>286</v>
      </c>
      <c r="F854" s="74">
        <v>0.2802</v>
      </c>
      <c r="G854" s="70" t="s">
        <v>286</v>
      </c>
      <c r="H854" s="74">
        <v>1.35E-2</v>
      </c>
    </row>
    <row r="855" spans="1:8" ht="15.6">
      <c r="A855" s="468" t="s">
        <v>1283</v>
      </c>
      <c r="B855" s="67">
        <v>48</v>
      </c>
      <c r="C855" s="69" t="s">
        <v>23</v>
      </c>
      <c r="D855" s="71" t="s">
        <v>23</v>
      </c>
      <c r="E855" s="70" t="s">
        <v>286</v>
      </c>
      <c r="F855" s="74">
        <v>0.13289999999999999</v>
      </c>
      <c r="G855" s="70" t="s">
        <v>286</v>
      </c>
      <c r="H855" s="74">
        <v>1.1000000000000001E-3</v>
      </c>
    </row>
    <row r="856" spans="1:8" ht="15.6">
      <c r="A856" s="468" t="s">
        <v>1284</v>
      </c>
      <c r="B856" s="67">
        <v>49</v>
      </c>
      <c r="C856" s="69" t="s">
        <v>23</v>
      </c>
      <c r="D856" s="71" t="s">
        <v>20</v>
      </c>
      <c r="E856" s="70" t="s">
        <v>286</v>
      </c>
      <c r="F856" s="74">
        <v>0.3987</v>
      </c>
      <c r="G856" s="70" t="s">
        <v>286</v>
      </c>
      <c r="H856" s="74">
        <v>2.35E-2</v>
      </c>
    </row>
    <row r="857" spans="1:8" ht="15.6">
      <c r="A857" s="468" t="s">
        <v>1285</v>
      </c>
      <c r="B857" s="67">
        <v>50</v>
      </c>
      <c r="C857" s="69" t="s">
        <v>23</v>
      </c>
      <c r="D857" s="71" t="s">
        <v>53</v>
      </c>
      <c r="E857" s="70" t="s">
        <v>286</v>
      </c>
      <c r="F857" s="74">
        <v>0.55479999999999996</v>
      </c>
      <c r="G857" s="70" t="s">
        <v>286</v>
      </c>
      <c r="H857" s="74">
        <v>3.6600000000000001E-2</v>
      </c>
    </row>
    <row r="858" spans="1:8" ht="15.6">
      <c r="A858" s="468" t="s">
        <v>1286</v>
      </c>
      <c r="B858" s="67">
        <v>51</v>
      </c>
      <c r="C858" s="69" t="s">
        <v>23</v>
      </c>
      <c r="D858" s="71" t="s">
        <v>41</v>
      </c>
      <c r="E858" s="70" t="s">
        <v>286</v>
      </c>
      <c r="F858" s="74">
        <v>0.55769999999999997</v>
      </c>
      <c r="G858" s="70" t="s">
        <v>286</v>
      </c>
      <c r="H858" s="74">
        <v>3.6799999999999999E-2</v>
      </c>
    </row>
    <row r="859" spans="1:8" ht="15.6">
      <c r="A859" s="468" t="s">
        <v>1287</v>
      </c>
      <c r="B859" s="67">
        <v>52</v>
      </c>
      <c r="C859" s="69" t="s">
        <v>23</v>
      </c>
      <c r="D859" s="71" t="s">
        <v>36</v>
      </c>
      <c r="E859" s="70" t="s">
        <v>286</v>
      </c>
      <c r="F859" s="74">
        <v>0.4819</v>
      </c>
      <c r="G859" s="70" t="s">
        <v>286</v>
      </c>
      <c r="H859" s="74">
        <v>3.0499999999999999E-2</v>
      </c>
    </row>
    <row r="860" spans="1:8" ht="15.6">
      <c r="A860" s="468" t="s">
        <v>1288</v>
      </c>
      <c r="B860" s="67">
        <v>53</v>
      </c>
      <c r="C860" s="69" t="s">
        <v>23</v>
      </c>
      <c r="D860" s="71" t="s">
        <v>15</v>
      </c>
      <c r="E860" s="70" t="s">
        <v>286</v>
      </c>
      <c r="F860" s="74">
        <v>0.26440000000000002</v>
      </c>
      <c r="G860" s="70" t="s">
        <v>286</v>
      </c>
      <c r="H860" s="74">
        <v>1.21E-2</v>
      </c>
    </row>
    <row r="861" spans="1:8" ht="15.6">
      <c r="A861" s="468" t="s">
        <v>1289</v>
      </c>
      <c r="B861" s="67">
        <v>54</v>
      </c>
      <c r="C861" s="69" t="s">
        <v>23</v>
      </c>
      <c r="D861" s="71" t="s">
        <v>16</v>
      </c>
      <c r="E861" s="70" t="s">
        <v>286</v>
      </c>
      <c r="F861" s="74">
        <v>0.54749999999999999</v>
      </c>
      <c r="G861" s="70" t="s">
        <v>286</v>
      </c>
      <c r="H861" s="74">
        <v>3.5999999999999997E-2</v>
      </c>
    </row>
    <row r="862" spans="1:8" ht="15.6">
      <c r="A862" s="468" t="s">
        <v>1290</v>
      </c>
      <c r="B862" s="67">
        <v>55</v>
      </c>
      <c r="C862" s="69" t="s">
        <v>23</v>
      </c>
      <c r="D862" s="71" t="s">
        <v>17</v>
      </c>
      <c r="E862" s="70" t="s">
        <v>286</v>
      </c>
      <c r="F862" s="74">
        <v>1.8188</v>
      </c>
      <c r="G862" s="70" t="s">
        <v>286</v>
      </c>
      <c r="H862" s="74">
        <v>0.14299999999999999</v>
      </c>
    </row>
    <row r="863" spans="1:8" ht="15.6">
      <c r="A863" s="468" t="s">
        <v>1291</v>
      </c>
      <c r="B863" s="67">
        <v>56</v>
      </c>
      <c r="C863" s="69" t="s">
        <v>23</v>
      </c>
      <c r="D863" s="71" t="s">
        <v>10</v>
      </c>
      <c r="E863" s="70" t="s">
        <v>286</v>
      </c>
      <c r="F863" s="74">
        <v>1.8188</v>
      </c>
      <c r="G863" s="70" t="s">
        <v>286</v>
      </c>
      <c r="H863" s="74">
        <v>0.14299999999999999</v>
      </c>
    </row>
    <row r="864" spans="1:8" ht="15.6">
      <c r="A864" s="468" t="s">
        <v>1292</v>
      </c>
      <c r="B864" s="67">
        <v>57</v>
      </c>
      <c r="C864" s="69" t="s">
        <v>23</v>
      </c>
      <c r="D864" s="71" t="s">
        <v>22</v>
      </c>
      <c r="E864" s="70" t="s">
        <v>286</v>
      </c>
      <c r="F864" s="74">
        <v>0.23069999999999999</v>
      </c>
      <c r="G864" s="70" t="s">
        <v>286</v>
      </c>
      <c r="H864" s="74">
        <v>9.2999999999999992E-3</v>
      </c>
    </row>
    <row r="865" spans="1:8" ht="15.6">
      <c r="A865" s="468" t="s">
        <v>1293</v>
      </c>
      <c r="B865" s="67">
        <v>58</v>
      </c>
      <c r="C865" s="69" t="s">
        <v>23</v>
      </c>
      <c r="D865" s="71" t="s">
        <v>35</v>
      </c>
      <c r="E865" s="70" t="s">
        <v>286</v>
      </c>
      <c r="F865" s="74">
        <v>0.40479999999999999</v>
      </c>
      <c r="G865" s="70" t="s">
        <v>286</v>
      </c>
      <c r="H865" s="74">
        <v>2.4E-2</v>
      </c>
    </row>
    <row r="866" spans="1:8" ht="15.6">
      <c r="A866" s="468" t="s">
        <v>1294</v>
      </c>
      <c r="B866" s="67">
        <v>59</v>
      </c>
      <c r="C866" s="69" t="s">
        <v>23</v>
      </c>
      <c r="D866" s="71" t="s">
        <v>24</v>
      </c>
      <c r="E866" s="70" t="s">
        <v>286</v>
      </c>
      <c r="F866" s="74">
        <v>0.38650000000000001</v>
      </c>
      <c r="G866" s="70" t="s">
        <v>286</v>
      </c>
      <c r="H866" s="74">
        <v>2.24E-2</v>
      </c>
    </row>
    <row r="867" spans="1:8" ht="15.6">
      <c r="A867" s="468" t="s">
        <v>1295</v>
      </c>
      <c r="B867" s="67">
        <v>60</v>
      </c>
      <c r="C867" s="69" t="s">
        <v>23</v>
      </c>
      <c r="D867" s="71" t="s">
        <v>37</v>
      </c>
      <c r="E867" s="70" t="s">
        <v>286</v>
      </c>
      <c r="F867" s="74">
        <v>0.48</v>
      </c>
      <c r="G867" s="70" t="s">
        <v>286</v>
      </c>
      <c r="H867" s="74">
        <v>3.0300000000000001E-2</v>
      </c>
    </row>
    <row r="868" spans="1:8" ht="15.6">
      <c r="A868" s="468" t="s">
        <v>1296</v>
      </c>
      <c r="B868" s="67">
        <v>61</v>
      </c>
      <c r="C868" s="69" t="s">
        <v>23</v>
      </c>
      <c r="D868" s="71" t="s">
        <v>38</v>
      </c>
      <c r="E868" s="70" t="s">
        <v>286</v>
      </c>
      <c r="F868" s="74">
        <v>0.56579999999999997</v>
      </c>
      <c r="G868" s="70" t="s">
        <v>286</v>
      </c>
      <c r="H868" s="74">
        <v>3.7499999999999999E-2</v>
      </c>
    </row>
    <row r="869" spans="1:8" ht="15.6">
      <c r="A869" s="468" t="s">
        <v>1297</v>
      </c>
      <c r="B869" s="67">
        <v>62</v>
      </c>
      <c r="C869" s="69" t="s">
        <v>23</v>
      </c>
      <c r="D869" s="71" t="s">
        <v>26</v>
      </c>
      <c r="E869" s="70" t="s">
        <v>286</v>
      </c>
      <c r="F869" s="74">
        <v>0.40039999999999998</v>
      </c>
      <c r="G869" s="70" t="s">
        <v>286</v>
      </c>
      <c r="H869" s="74">
        <v>2.3599999999999999E-2</v>
      </c>
    </row>
    <row r="870" spans="1:8" ht="15.6">
      <c r="A870" s="468" t="s">
        <v>1298</v>
      </c>
      <c r="B870" s="67">
        <v>63</v>
      </c>
      <c r="C870" s="69" t="s">
        <v>23</v>
      </c>
      <c r="D870" s="71" t="s">
        <v>52</v>
      </c>
      <c r="E870" s="70" t="s">
        <v>286</v>
      </c>
      <c r="F870" s="74">
        <v>1.8212999999999999</v>
      </c>
      <c r="G870" s="70" t="s">
        <v>286</v>
      </c>
      <c r="H870" s="74">
        <v>0.14319999999999999</v>
      </c>
    </row>
    <row r="871" spans="1:8" ht="15.6">
      <c r="A871" s="468" t="s">
        <v>1299</v>
      </c>
      <c r="B871" s="67">
        <v>64</v>
      </c>
      <c r="C871" s="69" t="s">
        <v>23</v>
      </c>
      <c r="D871" s="71" t="s">
        <v>40</v>
      </c>
      <c r="E871" s="70" t="s">
        <v>286</v>
      </c>
      <c r="F871" s="74">
        <v>0.57379999999999998</v>
      </c>
      <c r="G871" s="70" t="s">
        <v>286</v>
      </c>
      <c r="H871" s="74">
        <v>3.8199999999999998E-2</v>
      </c>
    </row>
    <row r="872" spans="1:8" ht="15.6">
      <c r="A872" s="468" t="s">
        <v>1300</v>
      </c>
      <c r="B872" s="67">
        <v>65</v>
      </c>
      <c r="C872" s="69" t="s">
        <v>23</v>
      </c>
      <c r="D872" s="71" t="s">
        <v>34</v>
      </c>
      <c r="E872" s="70" t="s">
        <v>286</v>
      </c>
      <c r="F872" s="74">
        <v>2.1318000000000001</v>
      </c>
      <c r="G872" s="70" t="s">
        <v>286</v>
      </c>
      <c r="H872" s="74">
        <v>0.1694</v>
      </c>
    </row>
    <row r="873" spans="1:8" ht="15.6">
      <c r="A873" s="468" t="s">
        <v>1301</v>
      </c>
      <c r="B873" s="67">
        <v>66</v>
      </c>
      <c r="C873" s="69" t="s">
        <v>23</v>
      </c>
      <c r="D873" s="71" t="s">
        <v>54</v>
      </c>
      <c r="E873" s="70" t="s">
        <v>286</v>
      </c>
      <c r="F873" s="74">
        <v>0.55479999999999996</v>
      </c>
      <c r="G873" s="70" t="s">
        <v>286</v>
      </c>
      <c r="H873" s="74">
        <v>3.6600000000000001E-2</v>
      </c>
    </row>
    <row r="874" spans="1:8" ht="15.6">
      <c r="A874" s="468" t="s">
        <v>1302</v>
      </c>
      <c r="B874" s="67">
        <v>67</v>
      </c>
      <c r="C874" s="69" t="s">
        <v>287</v>
      </c>
      <c r="D874" s="71" t="s">
        <v>12</v>
      </c>
      <c r="E874" s="70">
        <v>81.048249999999996</v>
      </c>
      <c r="F874" s="74">
        <v>2.6646000000000001</v>
      </c>
      <c r="G874" s="70">
        <v>6.51532</v>
      </c>
      <c r="H874" s="74">
        <v>0.2142</v>
      </c>
    </row>
    <row r="875" spans="1:8" ht="15.6">
      <c r="A875" s="468" t="s">
        <v>1303</v>
      </c>
      <c r="B875" s="67">
        <v>68</v>
      </c>
      <c r="C875" s="69" t="s">
        <v>287</v>
      </c>
      <c r="D875" s="71" t="s">
        <v>51</v>
      </c>
      <c r="E875" s="70">
        <v>70.556020000000004</v>
      </c>
      <c r="F875" s="74">
        <v>2.3197000000000001</v>
      </c>
      <c r="G875" s="70">
        <v>5.6322599999999996</v>
      </c>
      <c r="H875" s="74">
        <v>0.1852</v>
      </c>
    </row>
    <row r="876" spans="1:8" ht="15.6">
      <c r="A876" s="468" t="s">
        <v>1304</v>
      </c>
      <c r="B876" s="67">
        <v>69</v>
      </c>
      <c r="C876" s="69" t="s">
        <v>287</v>
      </c>
      <c r="D876" s="71" t="s">
        <v>13</v>
      </c>
      <c r="E876" s="70">
        <v>66.262709999999998</v>
      </c>
      <c r="F876" s="74">
        <v>2.1785000000000001</v>
      </c>
      <c r="G876" s="70">
        <v>5.2704700000000004</v>
      </c>
      <c r="H876" s="74">
        <v>0.17330000000000001</v>
      </c>
    </row>
    <row r="877" spans="1:8" ht="15.6">
      <c r="A877" s="468" t="s">
        <v>1305</v>
      </c>
      <c r="B877" s="67">
        <v>70</v>
      </c>
      <c r="C877" s="69" t="s">
        <v>287</v>
      </c>
      <c r="D877" s="71" t="s">
        <v>9</v>
      </c>
      <c r="E877" s="70">
        <v>59.799169999999997</v>
      </c>
      <c r="F877" s="74">
        <v>1.966</v>
      </c>
      <c r="G877" s="70">
        <v>4.7264400000000002</v>
      </c>
      <c r="H877" s="74">
        <v>0.15540000000000001</v>
      </c>
    </row>
    <row r="878" spans="1:8" ht="15.6">
      <c r="A878" s="468" t="s">
        <v>1306</v>
      </c>
      <c r="B878" s="67">
        <v>71</v>
      </c>
      <c r="C878" s="69" t="s">
        <v>287</v>
      </c>
      <c r="D878" s="71" t="s">
        <v>14</v>
      </c>
      <c r="E878" s="70">
        <v>56.815600000000003</v>
      </c>
      <c r="F878" s="74">
        <v>1.8678999999999999</v>
      </c>
      <c r="G878" s="70">
        <v>4.4753299999999996</v>
      </c>
      <c r="H878" s="74">
        <v>0.14710000000000001</v>
      </c>
    </row>
    <row r="879" spans="1:8" ht="15.6">
      <c r="A879" s="468" t="s">
        <v>1307</v>
      </c>
      <c r="B879" s="67">
        <v>72</v>
      </c>
      <c r="C879" s="69" t="s">
        <v>287</v>
      </c>
      <c r="D879" s="71" t="s">
        <v>33</v>
      </c>
      <c r="E879" s="70">
        <v>45.609490000000001</v>
      </c>
      <c r="F879" s="74">
        <v>1.4995000000000001</v>
      </c>
      <c r="G879" s="70">
        <v>3.5321199999999999</v>
      </c>
      <c r="H879" s="74">
        <v>0.11609999999999999</v>
      </c>
    </row>
    <row r="880" spans="1:8" ht="15.6">
      <c r="A880" s="468" t="s">
        <v>1308</v>
      </c>
      <c r="B880" s="67">
        <v>73</v>
      </c>
      <c r="C880" s="69" t="s">
        <v>287</v>
      </c>
      <c r="D880" s="71" t="s">
        <v>25</v>
      </c>
      <c r="E880" s="70">
        <v>41.013530000000003</v>
      </c>
      <c r="F880" s="74">
        <v>1.3484</v>
      </c>
      <c r="G880" s="70">
        <v>3.1449099999999999</v>
      </c>
      <c r="H880" s="74">
        <v>0.10340000000000001</v>
      </c>
    </row>
    <row r="881" spans="1:8" ht="15.6">
      <c r="A881" s="468" t="s">
        <v>1309</v>
      </c>
      <c r="B881" s="67">
        <v>74</v>
      </c>
      <c r="C881" s="69" t="s">
        <v>287</v>
      </c>
      <c r="D881" s="71" t="s">
        <v>31</v>
      </c>
      <c r="E881" s="70">
        <v>22.83775</v>
      </c>
      <c r="F881" s="74">
        <v>0.75080000000000002</v>
      </c>
      <c r="G881" s="70">
        <v>1.6149899999999999</v>
      </c>
      <c r="H881" s="74">
        <v>5.3100000000000001E-2</v>
      </c>
    </row>
    <row r="882" spans="1:8" ht="15.6">
      <c r="A882" s="468" t="s">
        <v>1310</v>
      </c>
      <c r="B882" s="67">
        <v>75</v>
      </c>
      <c r="C882" s="69" t="s">
        <v>287</v>
      </c>
      <c r="D882" s="71" t="s">
        <v>45</v>
      </c>
      <c r="E882" s="70">
        <v>33.013030000000001</v>
      </c>
      <c r="F882" s="74">
        <v>1.0853999999999999</v>
      </c>
      <c r="G882" s="70">
        <v>2.4716800000000001</v>
      </c>
      <c r="H882" s="74">
        <v>8.1299999999999997E-2</v>
      </c>
    </row>
    <row r="883" spans="1:8" ht="15.6">
      <c r="A883" s="468" t="s">
        <v>1311</v>
      </c>
      <c r="B883" s="67">
        <v>76</v>
      </c>
      <c r="C883" s="69" t="s">
        <v>287</v>
      </c>
      <c r="D883" s="71" t="s">
        <v>27</v>
      </c>
      <c r="E883" s="70">
        <v>26.719830000000002</v>
      </c>
      <c r="F883" s="74">
        <v>0.87849999999999995</v>
      </c>
      <c r="G883" s="70">
        <v>1.94164</v>
      </c>
      <c r="H883" s="74">
        <v>6.3799999999999996E-2</v>
      </c>
    </row>
    <row r="884" spans="1:8" ht="15.6">
      <c r="A884" s="468" t="s">
        <v>1312</v>
      </c>
      <c r="B884" s="67">
        <v>77</v>
      </c>
      <c r="C884" s="69" t="s">
        <v>287</v>
      </c>
      <c r="D884" s="71" t="s">
        <v>21</v>
      </c>
      <c r="E884" s="70">
        <v>22.038699999999999</v>
      </c>
      <c r="F884" s="74">
        <v>0.72460000000000002</v>
      </c>
      <c r="G884" s="70">
        <v>1.5477799999999999</v>
      </c>
      <c r="H884" s="74">
        <v>5.0900000000000001E-2</v>
      </c>
    </row>
    <row r="885" spans="1:8" ht="15.6">
      <c r="A885" s="468" t="s">
        <v>1313</v>
      </c>
      <c r="B885" s="67">
        <v>1</v>
      </c>
      <c r="C885" s="69" t="s">
        <v>287</v>
      </c>
      <c r="D885" s="71" t="s">
        <v>32</v>
      </c>
      <c r="E885" s="70">
        <v>38.951889999999999</v>
      </c>
      <c r="F885" s="74">
        <v>1.2806</v>
      </c>
      <c r="G885" s="70">
        <v>2.9714100000000001</v>
      </c>
      <c r="H885" s="74">
        <v>9.7699999999999995E-2</v>
      </c>
    </row>
    <row r="886" spans="1:8" ht="15.6">
      <c r="A886" s="468" t="s">
        <v>1314</v>
      </c>
      <c r="B886" s="67">
        <v>2</v>
      </c>
      <c r="C886" s="69" t="s">
        <v>287</v>
      </c>
      <c r="D886" s="71" t="s">
        <v>30</v>
      </c>
      <c r="E886" s="70">
        <v>20.653220000000001</v>
      </c>
      <c r="F886" s="74">
        <v>0.67900000000000005</v>
      </c>
      <c r="G886" s="70">
        <v>1.431</v>
      </c>
      <c r="H886" s="74">
        <v>4.7100000000000003E-2</v>
      </c>
    </row>
    <row r="887" spans="1:8" ht="15.6">
      <c r="A887" s="468" t="s">
        <v>1315</v>
      </c>
      <c r="B887" s="67">
        <v>3</v>
      </c>
      <c r="C887" s="69" t="s">
        <v>287</v>
      </c>
      <c r="D887" s="71" t="s">
        <v>28</v>
      </c>
      <c r="E887" s="70">
        <v>20.227689999999999</v>
      </c>
      <c r="F887" s="74">
        <v>0.66500000000000004</v>
      </c>
      <c r="G887" s="70">
        <v>1.3952</v>
      </c>
      <c r="H887" s="74">
        <v>4.5900000000000003E-2</v>
      </c>
    </row>
    <row r="888" spans="1:8" ht="15.6">
      <c r="A888" s="468" t="s">
        <v>1316</v>
      </c>
      <c r="B888" s="67">
        <v>4</v>
      </c>
      <c r="C888" s="69" t="s">
        <v>287</v>
      </c>
      <c r="D888" s="71" t="s">
        <v>79</v>
      </c>
      <c r="E888" s="70">
        <v>19.031400000000001</v>
      </c>
      <c r="F888" s="74">
        <v>0.62570000000000003</v>
      </c>
      <c r="G888" s="70">
        <v>1.29443</v>
      </c>
      <c r="H888" s="74">
        <v>4.2599999999999999E-2</v>
      </c>
    </row>
    <row r="889" spans="1:8" ht="15.6">
      <c r="A889" s="468" t="s">
        <v>1317</v>
      </c>
      <c r="B889" s="67">
        <v>5</v>
      </c>
      <c r="C889" s="69" t="s">
        <v>287</v>
      </c>
      <c r="D889" s="71" t="s">
        <v>29</v>
      </c>
      <c r="E889" s="70">
        <v>10.993499999999999</v>
      </c>
      <c r="F889" s="74">
        <v>0.3614</v>
      </c>
      <c r="G889" s="70">
        <v>0.61782999999999999</v>
      </c>
      <c r="H889" s="74">
        <v>2.0299999999999999E-2</v>
      </c>
    </row>
    <row r="890" spans="1:8" ht="15.6">
      <c r="A890" s="468" t="s">
        <v>1318</v>
      </c>
      <c r="B890" s="67">
        <v>6</v>
      </c>
      <c r="C890" s="69" t="s">
        <v>287</v>
      </c>
      <c r="D890" s="71" t="s">
        <v>43</v>
      </c>
      <c r="E890" s="70">
        <v>18.752479999999998</v>
      </c>
      <c r="F890" s="74">
        <v>0.61650000000000005</v>
      </c>
      <c r="G890" s="70">
        <v>1.27098</v>
      </c>
      <c r="H890" s="74">
        <v>4.1799999999999997E-2</v>
      </c>
    </row>
    <row r="891" spans="1:8" ht="15.6">
      <c r="A891" s="468" t="s">
        <v>1319</v>
      </c>
      <c r="B891" s="67">
        <v>7</v>
      </c>
      <c r="C891" s="69" t="s">
        <v>287</v>
      </c>
      <c r="D891" s="71" t="s">
        <v>18</v>
      </c>
      <c r="E891" s="70">
        <v>18.033740000000002</v>
      </c>
      <c r="F891" s="74">
        <v>0.59289999999999998</v>
      </c>
      <c r="G891" s="70">
        <v>1.2105300000000001</v>
      </c>
      <c r="H891" s="74">
        <v>3.9800000000000002E-2</v>
      </c>
    </row>
    <row r="892" spans="1:8" ht="15.6">
      <c r="A892" s="468" t="s">
        <v>1320</v>
      </c>
      <c r="B892" s="67">
        <v>8</v>
      </c>
      <c r="C892" s="69" t="s">
        <v>287</v>
      </c>
      <c r="D892" s="71" t="s">
        <v>76</v>
      </c>
      <c r="E892" s="70">
        <v>18.752479999999998</v>
      </c>
      <c r="F892" s="74">
        <v>0.61650000000000005</v>
      </c>
      <c r="G892" s="70">
        <v>1.27098</v>
      </c>
      <c r="H892" s="74">
        <v>4.1799999999999997E-2</v>
      </c>
    </row>
    <row r="893" spans="1:8" ht="15.6">
      <c r="A893" s="468" t="s">
        <v>1321</v>
      </c>
      <c r="B893" s="67">
        <v>9</v>
      </c>
      <c r="C893" s="69" t="s">
        <v>287</v>
      </c>
      <c r="D893" s="71" t="s">
        <v>19</v>
      </c>
      <c r="E893" s="70">
        <v>10.41649</v>
      </c>
      <c r="F893" s="74">
        <v>0.34250000000000003</v>
      </c>
      <c r="G893" s="70">
        <v>0.56906999999999996</v>
      </c>
      <c r="H893" s="74">
        <v>1.8700000000000001E-2</v>
      </c>
    </row>
    <row r="894" spans="1:8" ht="15.6">
      <c r="A894" s="468" t="s">
        <v>1322</v>
      </c>
      <c r="B894" s="67">
        <v>10</v>
      </c>
      <c r="C894" s="69" t="s">
        <v>287</v>
      </c>
      <c r="D894" s="71" t="s">
        <v>23</v>
      </c>
      <c r="E894" s="70">
        <v>11.404730000000001</v>
      </c>
      <c r="F894" s="74">
        <v>0.375</v>
      </c>
      <c r="G894" s="70">
        <v>0.65237999999999996</v>
      </c>
      <c r="H894" s="74">
        <v>2.1499999999999998E-2</v>
      </c>
    </row>
    <row r="895" spans="1:8" ht="15.6">
      <c r="A895" s="468" t="s">
        <v>1323</v>
      </c>
      <c r="B895" s="67">
        <v>11</v>
      </c>
      <c r="C895" s="69" t="s">
        <v>287</v>
      </c>
      <c r="D895" s="71" t="s">
        <v>20</v>
      </c>
      <c r="E895" s="70">
        <v>6.5581399999999999</v>
      </c>
      <c r="F895" s="74">
        <v>0.21560000000000001</v>
      </c>
      <c r="G895" s="70">
        <v>0.24459</v>
      </c>
      <c r="H895" s="74">
        <v>8.0000000000000002E-3</v>
      </c>
    </row>
    <row r="896" spans="1:8" ht="15.6">
      <c r="A896" s="468" t="s">
        <v>1324</v>
      </c>
      <c r="B896" s="67">
        <v>12</v>
      </c>
      <c r="C896" s="69" t="s">
        <v>287</v>
      </c>
      <c r="D896" s="71" t="s">
        <v>53</v>
      </c>
      <c r="E896" s="70">
        <v>24.237220000000001</v>
      </c>
      <c r="F896" s="74">
        <v>0.79679999999999995</v>
      </c>
      <c r="G896" s="70">
        <v>1.7327900000000001</v>
      </c>
      <c r="H896" s="74">
        <v>5.7000000000000002E-2</v>
      </c>
    </row>
    <row r="897" spans="1:8" ht="15.6">
      <c r="A897" s="468" t="s">
        <v>1325</v>
      </c>
      <c r="B897" s="67">
        <v>13</v>
      </c>
      <c r="C897" s="69" t="s">
        <v>287</v>
      </c>
      <c r="D897" s="71" t="s">
        <v>41</v>
      </c>
      <c r="E897" s="70">
        <v>24.327249999999999</v>
      </c>
      <c r="F897" s="74">
        <v>0.79979999999999996</v>
      </c>
      <c r="G897" s="70">
        <v>1.74011</v>
      </c>
      <c r="H897" s="74">
        <v>5.7200000000000001E-2</v>
      </c>
    </row>
    <row r="898" spans="1:8" ht="15.6">
      <c r="A898" s="468" t="s">
        <v>1326</v>
      </c>
      <c r="B898" s="67">
        <v>14</v>
      </c>
      <c r="C898" s="69" t="s">
        <v>287</v>
      </c>
      <c r="D898" s="71" t="s">
        <v>36</v>
      </c>
      <c r="E898" s="70">
        <v>22.019839999999999</v>
      </c>
      <c r="F898" s="74">
        <v>0.72389999999999999</v>
      </c>
      <c r="G898" s="70">
        <v>1.5459799999999999</v>
      </c>
      <c r="H898" s="74">
        <v>5.0799999999999998E-2</v>
      </c>
    </row>
    <row r="899" spans="1:8" ht="15.6">
      <c r="A899" s="468" t="s">
        <v>1327</v>
      </c>
      <c r="B899" s="67">
        <v>15</v>
      </c>
      <c r="C899" s="69" t="s">
        <v>287</v>
      </c>
      <c r="D899" s="71" t="s">
        <v>15</v>
      </c>
      <c r="E899" s="70">
        <v>7.40463</v>
      </c>
      <c r="F899" s="74">
        <v>0.24340000000000001</v>
      </c>
      <c r="G899" s="70">
        <v>0.31579000000000002</v>
      </c>
      <c r="H899" s="74">
        <v>1.04E-2</v>
      </c>
    </row>
    <row r="900" spans="1:8" ht="15.6">
      <c r="A900" s="468" t="s">
        <v>1328</v>
      </c>
      <c r="B900" s="67">
        <v>16</v>
      </c>
      <c r="C900" s="69" t="s">
        <v>287</v>
      </c>
      <c r="D900" s="71" t="s">
        <v>16</v>
      </c>
      <c r="E900" s="70">
        <v>9.2910799999999991</v>
      </c>
      <c r="F900" s="74">
        <v>0.30549999999999999</v>
      </c>
      <c r="G900" s="70">
        <v>0.47449999999999998</v>
      </c>
      <c r="H900" s="74">
        <v>1.5599999999999999E-2</v>
      </c>
    </row>
    <row r="901" spans="1:8" ht="15.6">
      <c r="A901" s="468" t="s">
        <v>1329</v>
      </c>
      <c r="B901" s="67">
        <v>17</v>
      </c>
      <c r="C901" s="69" t="s">
        <v>287</v>
      </c>
      <c r="D901" s="71" t="s">
        <v>17</v>
      </c>
      <c r="E901" s="70">
        <v>60.24812</v>
      </c>
      <c r="F901" s="74">
        <v>1.9807999999999999</v>
      </c>
      <c r="G901" s="70">
        <v>4.7641900000000001</v>
      </c>
      <c r="H901" s="74">
        <v>0.15659999999999999</v>
      </c>
    </row>
    <row r="902" spans="1:8" ht="15.6">
      <c r="A902" s="468" t="s">
        <v>1330</v>
      </c>
      <c r="B902" s="67">
        <v>18</v>
      </c>
      <c r="C902" s="69" t="s">
        <v>287</v>
      </c>
      <c r="D902" s="71" t="s">
        <v>10</v>
      </c>
      <c r="E902" s="70">
        <v>60.24812</v>
      </c>
      <c r="F902" s="74">
        <v>1.9807999999999999</v>
      </c>
      <c r="G902" s="70">
        <v>4.7641900000000001</v>
      </c>
      <c r="H902" s="74">
        <v>0.15659999999999999</v>
      </c>
    </row>
    <row r="903" spans="1:8" ht="15.6">
      <c r="A903" s="468" t="s">
        <v>1331</v>
      </c>
      <c r="B903" s="67">
        <v>19</v>
      </c>
      <c r="C903" s="69" t="s">
        <v>287</v>
      </c>
      <c r="D903" s="71" t="s">
        <v>22</v>
      </c>
      <c r="E903" s="70">
        <v>8.6529299999999996</v>
      </c>
      <c r="F903" s="74">
        <v>0.28449999999999998</v>
      </c>
      <c r="G903" s="70">
        <v>0.42083999999999999</v>
      </c>
      <c r="H903" s="74">
        <v>1.38E-2</v>
      </c>
    </row>
    <row r="904" spans="1:8" ht="15.6">
      <c r="A904" s="468" t="s">
        <v>1332</v>
      </c>
      <c r="B904" s="67">
        <v>20</v>
      </c>
      <c r="C904" s="69" t="s">
        <v>287</v>
      </c>
      <c r="D904" s="71" t="s">
        <v>35</v>
      </c>
      <c r="E904" s="70">
        <v>19.674410000000002</v>
      </c>
      <c r="F904" s="74">
        <v>0.64680000000000004</v>
      </c>
      <c r="G904" s="70">
        <v>1.34876</v>
      </c>
      <c r="H904" s="74">
        <v>4.4299999999999999E-2</v>
      </c>
    </row>
    <row r="905" spans="1:8" ht="15.6">
      <c r="A905" s="468" t="s">
        <v>1333</v>
      </c>
      <c r="B905" s="67">
        <v>21</v>
      </c>
      <c r="C905" s="69" t="s">
        <v>287</v>
      </c>
      <c r="D905" s="71" t="s">
        <v>24</v>
      </c>
      <c r="E905" s="70">
        <v>8.1988099999999999</v>
      </c>
      <c r="F905" s="74">
        <v>0.26960000000000001</v>
      </c>
      <c r="G905" s="70">
        <v>0.38252999999999998</v>
      </c>
      <c r="H905" s="74">
        <v>1.26E-2</v>
      </c>
    </row>
    <row r="906" spans="1:8" ht="15.6">
      <c r="A906" s="468" t="s">
        <v>1334</v>
      </c>
      <c r="B906" s="67">
        <v>22</v>
      </c>
      <c r="C906" s="69" t="s">
        <v>287</v>
      </c>
      <c r="D906" s="71" t="s">
        <v>37</v>
      </c>
      <c r="E906" s="70">
        <v>21.962959999999999</v>
      </c>
      <c r="F906" s="74">
        <v>0.72209999999999996</v>
      </c>
      <c r="G906" s="70">
        <v>1.54111</v>
      </c>
      <c r="H906" s="74">
        <v>5.0700000000000002E-2</v>
      </c>
    </row>
    <row r="907" spans="1:8" ht="15.6">
      <c r="A907" s="468" t="s">
        <v>1335</v>
      </c>
      <c r="B907" s="67">
        <v>23</v>
      </c>
      <c r="C907" s="69" t="s">
        <v>287</v>
      </c>
      <c r="D907" s="71" t="s">
        <v>38</v>
      </c>
      <c r="E907" s="70">
        <v>18.6296</v>
      </c>
      <c r="F907" s="74">
        <v>0.61250000000000004</v>
      </c>
      <c r="G907" s="70">
        <v>1.2604599999999999</v>
      </c>
      <c r="H907" s="74">
        <v>4.1399999999999999E-2</v>
      </c>
    </row>
    <row r="908" spans="1:8" ht="15.6">
      <c r="A908" s="468" t="s">
        <v>1336</v>
      </c>
      <c r="B908" s="67">
        <v>24</v>
      </c>
      <c r="C908" s="69" t="s">
        <v>287</v>
      </c>
      <c r="D908" s="71" t="s">
        <v>26</v>
      </c>
      <c r="E908" s="70">
        <v>8.6197800000000004</v>
      </c>
      <c r="F908" s="74">
        <v>0.28339999999999999</v>
      </c>
      <c r="G908" s="70">
        <v>0.41807</v>
      </c>
      <c r="H908" s="74">
        <v>1.37E-2</v>
      </c>
    </row>
    <row r="909" spans="1:8" ht="15.6">
      <c r="A909" s="468" t="s">
        <v>1337</v>
      </c>
      <c r="B909" s="67">
        <v>25</v>
      </c>
      <c r="C909" s="69" t="s">
        <v>287</v>
      </c>
      <c r="D909" s="71" t="s">
        <v>52</v>
      </c>
      <c r="E909" s="70">
        <v>56.815600000000003</v>
      </c>
      <c r="F909" s="74">
        <v>1.8678999999999999</v>
      </c>
      <c r="G909" s="70">
        <v>4.4753299999999996</v>
      </c>
      <c r="H909" s="74">
        <v>0.14710000000000001</v>
      </c>
    </row>
    <row r="910" spans="1:8" ht="15.6">
      <c r="A910" s="468" t="s">
        <v>1338</v>
      </c>
      <c r="B910" s="67">
        <v>26</v>
      </c>
      <c r="C910" s="69" t="s">
        <v>287</v>
      </c>
      <c r="D910" s="71" t="s">
        <v>40</v>
      </c>
      <c r="E910" s="70">
        <v>24.814219999999999</v>
      </c>
      <c r="F910" s="74">
        <v>0.81579999999999997</v>
      </c>
      <c r="G910" s="70">
        <v>1.78128</v>
      </c>
      <c r="H910" s="74">
        <v>5.8599999999999999E-2</v>
      </c>
    </row>
    <row r="911" spans="1:8" ht="15.6">
      <c r="A911" s="468" t="s">
        <v>1339</v>
      </c>
      <c r="B911" s="67">
        <v>27</v>
      </c>
      <c r="C911" s="69" t="s">
        <v>287</v>
      </c>
      <c r="D911" s="71" t="s">
        <v>34</v>
      </c>
      <c r="E911" s="70">
        <v>66.262709999999998</v>
      </c>
      <c r="F911" s="74">
        <v>2.1785000000000001</v>
      </c>
      <c r="G911" s="70">
        <v>5.2704700000000004</v>
      </c>
      <c r="H911" s="74">
        <v>0.17330000000000001</v>
      </c>
    </row>
    <row r="912" spans="1:8" ht="15.6">
      <c r="A912" s="468" t="s">
        <v>1340</v>
      </c>
      <c r="B912" s="67">
        <v>28</v>
      </c>
      <c r="C912" s="69" t="s">
        <v>287</v>
      </c>
      <c r="D912" s="71" t="s">
        <v>54</v>
      </c>
      <c r="E912" s="70">
        <v>24.237220000000001</v>
      </c>
      <c r="F912" s="74">
        <v>0.79679999999999995</v>
      </c>
      <c r="G912" s="70">
        <v>1.7327900000000001</v>
      </c>
      <c r="H912" s="74">
        <v>5.7000000000000002E-2</v>
      </c>
    </row>
    <row r="913" spans="1:8" ht="15.6">
      <c r="A913" s="468" t="s">
        <v>1341</v>
      </c>
      <c r="B913" s="67">
        <v>29</v>
      </c>
      <c r="C913" s="69" t="s">
        <v>58</v>
      </c>
      <c r="D913" s="71" t="s">
        <v>12</v>
      </c>
      <c r="E913" s="70">
        <v>3.5563199999999999</v>
      </c>
      <c r="F913" s="74">
        <v>0.1169</v>
      </c>
      <c r="G913" s="70">
        <v>0.12136</v>
      </c>
      <c r="H913" s="74">
        <v>4.0000000000000001E-3</v>
      </c>
    </row>
    <row r="914" spans="1:8" ht="15.6">
      <c r="A914" s="468" t="s">
        <v>1342</v>
      </c>
      <c r="B914" s="67">
        <v>30</v>
      </c>
      <c r="C914" s="69" t="s">
        <v>58</v>
      </c>
      <c r="D914" s="71" t="s">
        <v>51</v>
      </c>
      <c r="E914" s="70">
        <v>9.4109200000000008</v>
      </c>
      <c r="F914" s="74">
        <v>0.30940000000000001</v>
      </c>
      <c r="G914" s="70">
        <v>0.82760999999999996</v>
      </c>
      <c r="H914" s="74">
        <v>2.7199999999999998E-2</v>
      </c>
    </row>
    <row r="915" spans="1:8" ht="15.6">
      <c r="A915" s="468" t="s">
        <v>1343</v>
      </c>
      <c r="B915" s="67">
        <v>31</v>
      </c>
      <c r="C915" s="69" t="s">
        <v>58</v>
      </c>
      <c r="D915" s="71" t="s">
        <v>13</v>
      </c>
      <c r="E915" s="70">
        <v>12.403919999999999</v>
      </c>
      <c r="F915" s="74">
        <v>0.4078</v>
      </c>
      <c r="G915" s="70">
        <v>1.1887099999999999</v>
      </c>
      <c r="H915" s="74">
        <v>3.9100000000000003E-2</v>
      </c>
    </row>
    <row r="916" spans="1:8" ht="15.6">
      <c r="A916" s="468" t="s">
        <v>1344</v>
      </c>
      <c r="B916" s="67">
        <v>32</v>
      </c>
      <c r="C916" s="69" t="s">
        <v>58</v>
      </c>
      <c r="D916" s="71" t="s">
        <v>9</v>
      </c>
      <c r="E916" s="70">
        <v>16.956679999999999</v>
      </c>
      <c r="F916" s="74">
        <v>0.5575</v>
      </c>
      <c r="G916" s="70">
        <v>1.73794</v>
      </c>
      <c r="H916" s="74">
        <v>5.7099999999999998E-2</v>
      </c>
    </row>
    <row r="917" spans="1:8" ht="15.6">
      <c r="A917" s="468" t="s">
        <v>1345</v>
      </c>
      <c r="B917" s="67">
        <v>33</v>
      </c>
      <c r="C917" s="69" t="s">
        <v>58</v>
      </c>
      <c r="D917" s="71" t="s">
        <v>14</v>
      </c>
      <c r="E917" s="70">
        <v>18.995509999999999</v>
      </c>
      <c r="F917" s="74">
        <v>0.62450000000000006</v>
      </c>
      <c r="G917" s="70">
        <v>1.98387</v>
      </c>
      <c r="H917" s="74">
        <v>6.5199999999999994E-2</v>
      </c>
    </row>
    <row r="918" spans="1:8" ht="15.6">
      <c r="A918" s="468" t="s">
        <v>1346</v>
      </c>
      <c r="B918" s="67">
        <v>34</v>
      </c>
      <c r="C918" s="69" t="s">
        <v>58</v>
      </c>
      <c r="D918" s="71" t="s">
        <v>33</v>
      </c>
      <c r="E918" s="70">
        <v>27.514610000000001</v>
      </c>
      <c r="F918" s="74">
        <v>0.90459999999999996</v>
      </c>
      <c r="G918" s="70">
        <v>3.0116299999999998</v>
      </c>
      <c r="H918" s="74">
        <v>9.9000000000000005E-2</v>
      </c>
    </row>
    <row r="919" spans="1:8" ht="15.6">
      <c r="A919" s="468" t="s">
        <v>1347</v>
      </c>
      <c r="B919" s="67">
        <v>35</v>
      </c>
      <c r="C919" s="69" t="s">
        <v>58</v>
      </c>
      <c r="D919" s="71" t="s">
        <v>25</v>
      </c>
      <c r="E919" s="70">
        <v>30.02338</v>
      </c>
      <c r="F919" s="74">
        <v>0.98709999999999998</v>
      </c>
      <c r="G919" s="70">
        <v>3.31427</v>
      </c>
      <c r="H919" s="74">
        <v>0.109</v>
      </c>
    </row>
    <row r="920" spans="1:8" ht="15.6">
      <c r="A920" s="468" t="s">
        <v>1348</v>
      </c>
      <c r="B920" s="67">
        <v>36</v>
      </c>
      <c r="C920" s="69" t="s">
        <v>58</v>
      </c>
      <c r="D920" s="71" t="s">
        <v>31</v>
      </c>
      <c r="E920" s="70">
        <v>42.717779999999998</v>
      </c>
      <c r="F920" s="74">
        <v>1.4044000000000001</v>
      </c>
      <c r="G920" s="70">
        <v>4.8457299999999996</v>
      </c>
      <c r="H920" s="74">
        <v>0.1593</v>
      </c>
    </row>
    <row r="921" spans="1:8" ht="15.6">
      <c r="A921" s="468" t="s">
        <v>1349</v>
      </c>
      <c r="B921" s="67">
        <v>37</v>
      </c>
      <c r="C921" s="69" t="s">
        <v>58</v>
      </c>
      <c r="D921" s="71" t="s">
        <v>45</v>
      </c>
      <c r="E921" s="70">
        <v>35.603929999999998</v>
      </c>
      <c r="F921" s="74">
        <v>1.1705000000000001</v>
      </c>
      <c r="G921" s="70">
        <v>3.9875099999999999</v>
      </c>
      <c r="H921" s="74">
        <v>0.13109999999999999</v>
      </c>
    </row>
    <row r="922" spans="1:8" ht="15.6">
      <c r="A922" s="468" t="s">
        <v>1350</v>
      </c>
      <c r="B922" s="67">
        <v>38</v>
      </c>
      <c r="C922" s="69" t="s">
        <v>58</v>
      </c>
      <c r="D922" s="71" t="s">
        <v>27</v>
      </c>
      <c r="E922" s="70">
        <v>39.997610000000002</v>
      </c>
      <c r="F922" s="74">
        <v>1.3149999999999999</v>
      </c>
      <c r="G922" s="70">
        <v>4.51755</v>
      </c>
      <c r="H922" s="74">
        <v>0.14849999999999999</v>
      </c>
    </row>
    <row r="923" spans="1:8" ht="15.6">
      <c r="A923" s="468" t="s">
        <v>1351</v>
      </c>
      <c r="B923" s="67">
        <v>39</v>
      </c>
      <c r="C923" s="69" t="s">
        <v>58</v>
      </c>
      <c r="D923" s="71" t="s">
        <v>21</v>
      </c>
      <c r="E923" s="70">
        <v>43.613849999999999</v>
      </c>
      <c r="F923" s="74">
        <v>1.4339</v>
      </c>
      <c r="G923" s="70">
        <v>4.9537699999999996</v>
      </c>
      <c r="H923" s="74">
        <v>0.16289999999999999</v>
      </c>
    </row>
    <row r="924" spans="1:8" ht="15.6">
      <c r="A924" s="468" t="s">
        <v>1352</v>
      </c>
      <c r="B924" s="67">
        <v>40</v>
      </c>
      <c r="C924" s="69" t="s">
        <v>58</v>
      </c>
      <c r="D924" s="71" t="s">
        <v>32</v>
      </c>
      <c r="E924" s="70">
        <v>38.677230000000002</v>
      </c>
      <c r="F924" s="74">
        <v>1.2716000000000001</v>
      </c>
      <c r="G924" s="70">
        <v>4.35825</v>
      </c>
      <c r="H924" s="74">
        <v>0.14330000000000001</v>
      </c>
    </row>
    <row r="925" spans="1:8" ht="15.6">
      <c r="A925" s="468" t="s">
        <v>1353</v>
      </c>
      <c r="B925" s="67">
        <v>41</v>
      </c>
      <c r="C925" s="69" t="s">
        <v>58</v>
      </c>
      <c r="D925" s="71" t="s">
        <v>30</v>
      </c>
      <c r="E925" s="70">
        <v>52.189830000000001</v>
      </c>
      <c r="F925" s="74">
        <v>1.7158</v>
      </c>
      <c r="G925" s="70">
        <v>5.5558300000000003</v>
      </c>
      <c r="H925" s="74">
        <v>0.1827</v>
      </c>
    </row>
    <row r="926" spans="1:8" ht="15.6">
      <c r="A926" s="468" t="s">
        <v>1354</v>
      </c>
      <c r="B926" s="67">
        <v>42</v>
      </c>
      <c r="C926" s="69" t="s">
        <v>58</v>
      </c>
      <c r="D926" s="71" t="s">
        <v>28</v>
      </c>
      <c r="E926" s="70">
        <v>53.59843</v>
      </c>
      <c r="F926" s="74">
        <v>1.7621</v>
      </c>
      <c r="G926" s="70">
        <v>5.7141299999999999</v>
      </c>
      <c r="H926" s="74">
        <v>0.18790000000000001</v>
      </c>
    </row>
    <row r="927" spans="1:8" ht="15.6">
      <c r="A927" s="468" t="s">
        <v>1355</v>
      </c>
      <c r="B927" s="67">
        <v>43</v>
      </c>
      <c r="C927" s="69" t="s">
        <v>58</v>
      </c>
      <c r="D927" s="71" t="s">
        <v>79</v>
      </c>
      <c r="E927" s="70">
        <v>53.905029999999996</v>
      </c>
      <c r="F927" s="74">
        <v>1.7722</v>
      </c>
      <c r="G927" s="70">
        <v>5.7485499999999998</v>
      </c>
      <c r="H927" s="74">
        <v>0.189</v>
      </c>
    </row>
    <row r="928" spans="1:8" ht="15.6">
      <c r="A928" s="468" t="s">
        <v>1356</v>
      </c>
      <c r="B928" s="67">
        <v>44</v>
      </c>
      <c r="C928" s="69" t="s">
        <v>58</v>
      </c>
      <c r="D928" s="71" t="s">
        <v>29</v>
      </c>
      <c r="E928" s="70">
        <v>57.684899999999999</v>
      </c>
      <c r="F928" s="74">
        <v>1.8965000000000001</v>
      </c>
      <c r="G928" s="70">
        <v>6.1732100000000001</v>
      </c>
      <c r="H928" s="74">
        <v>0.20300000000000001</v>
      </c>
    </row>
    <row r="929" spans="1:8" ht="15.6">
      <c r="A929" s="468" t="s">
        <v>1357</v>
      </c>
      <c r="B929" s="67">
        <v>45</v>
      </c>
      <c r="C929" s="69" t="s">
        <v>58</v>
      </c>
      <c r="D929" s="71" t="s">
        <v>43</v>
      </c>
      <c r="E929" s="70">
        <v>53.696669999999997</v>
      </c>
      <c r="F929" s="74">
        <v>1.7654000000000001</v>
      </c>
      <c r="G929" s="70">
        <v>5.7251200000000004</v>
      </c>
      <c r="H929" s="74">
        <v>0.18820000000000001</v>
      </c>
    </row>
    <row r="930" spans="1:8" ht="15.6">
      <c r="A930" s="468" t="s">
        <v>1358</v>
      </c>
      <c r="B930" s="67">
        <v>46</v>
      </c>
      <c r="C930" s="69" t="s">
        <v>58</v>
      </c>
      <c r="D930" s="71" t="s">
        <v>18</v>
      </c>
      <c r="E930" s="70">
        <v>54.780720000000002</v>
      </c>
      <c r="F930" s="74">
        <v>1.8009999999999999</v>
      </c>
      <c r="G930" s="70">
        <v>5.84694</v>
      </c>
      <c r="H930" s="74">
        <v>0.19220000000000001</v>
      </c>
    </row>
    <row r="931" spans="1:8" ht="15.6">
      <c r="A931" s="468" t="s">
        <v>1359</v>
      </c>
      <c r="B931" s="67">
        <v>47</v>
      </c>
      <c r="C931" s="69" t="s">
        <v>58</v>
      </c>
      <c r="D931" s="71" t="s">
        <v>76</v>
      </c>
      <c r="E931" s="70">
        <v>53.696669999999997</v>
      </c>
      <c r="F931" s="74">
        <v>1.7654000000000001</v>
      </c>
      <c r="G931" s="70">
        <v>5.7251200000000004</v>
      </c>
      <c r="H931" s="74">
        <v>0.18820000000000001</v>
      </c>
    </row>
    <row r="932" spans="1:8" ht="15.6">
      <c r="A932" s="468" t="s">
        <v>1360</v>
      </c>
      <c r="B932" s="67">
        <v>48</v>
      </c>
      <c r="C932" s="69" t="s">
        <v>58</v>
      </c>
      <c r="D932" s="71" t="s">
        <v>19</v>
      </c>
      <c r="E932" s="70">
        <v>56.443899999999999</v>
      </c>
      <c r="F932" s="74">
        <v>1.8556999999999999</v>
      </c>
      <c r="G932" s="70">
        <v>6.0337800000000001</v>
      </c>
      <c r="H932" s="74">
        <v>0.19839999999999999</v>
      </c>
    </row>
    <row r="933" spans="1:8" ht="15.6">
      <c r="A933" s="468" t="s">
        <v>1361</v>
      </c>
      <c r="B933" s="67">
        <v>49</v>
      </c>
      <c r="C933" s="69" t="s">
        <v>58</v>
      </c>
      <c r="D933" s="71" t="s">
        <v>23</v>
      </c>
      <c r="E933" s="70">
        <v>58.877850000000002</v>
      </c>
      <c r="F933" s="74">
        <v>1.9357</v>
      </c>
      <c r="G933" s="70">
        <v>6.3072699999999999</v>
      </c>
      <c r="H933" s="74">
        <v>0.2074</v>
      </c>
    </row>
    <row r="934" spans="1:8" ht="15.6">
      <c r="A934" s="468" t="s">
        <v>1362</v>
      </c>
      <c r="B934" s="67">
        <v>50</v>
      </c>
      <c r="C934" s="69" t="s">
        <v>58</v>
      </c>
      <c r="D934" s="71" t="s">
        <v>20</v>
      </c>
      <c r="E934" s="70">
        <v>60.481110000000001</v>
      </c>
      <c r="F934" s="74">
        <v>1.9883999999999999</v>
      </c>
      <c r="G934" s="70">
        <v>6.4873900000000004</v>
      </c>
      <c r="H934" s="74">
        <v>0.21329999999999999</v>
      </c>
    </row>
    <row r="935" spans="1:8" ht="15.6">
      <c r="A935" s="468" t="s">
        <v>1363</v>
      </c>
      <c r="B935" s="67">
        <v>51</v>
      </c>
      <c r="C935" s="69" t="s">
        <v>58</v>
      </c>
      <c r="D935" s="71" t="s">
        <v>53</v>
      </c>
      <c r="E935" s="70">
        <v>49.58616</v>
      </c>
      <c r="F935" s="74">
        <v>1.6302000000000001</v>
      </c>
      <c r="G935" s="70">
        <v>5.2633099999999997</v>
      </c>
      <c r="H935" s="74">
        <v>0.17299999999999999</v>
      </c>
    </row>
    <row r="936" spans="1:8" ht="15.6">
      <c r="A936" s="468" t="s">
        <v>1364</v>
      </c>
      <c r="B936" s="67">
        <v>52</v>
      </c>
      <c r="C936" s="69" t="s">
        <v>58</v>
      </c>
      <c r="D936" s="71" t="s">
        <v>41</v>
      </c>
      <c r="E936" s="70">
        <v>49.520769999999999</v>
      </c>
      <c r="F936" s="74">
        <v>1.6281000000000001</v>
      </c>
      <c r="G936" s="70">
        <v>5.2560000000000002</v>
      </c>
      <c r="H936" s="74">
        <v>0.17280000000000001</v>
      </c>
    </row>
    <row r="937" spans="1:8" ht="15.6">
      <c r="A937" s="468" t="s">
        <v>1365</v>
      </c>
      <c r="B937" s="67">
        <v>53</v>
      </c>
      <c r="C937" s="69" t="s">
        <v>58</v>
      </c>
      <c r="D937" s="71" t="s">
        <v>36</v>
      </c>
      <c r="E937" s="70">
        <v>55.065420000000003</v>
      </c>
      <c r="F937" s="74">
        <v>1.8104</v>
      </c>
      <c r="G937" s="70">
        <v>5.8789199999999999</v>
      </c>
      <c r="H937" s="74">
        <v>0.1933</v>
      </c>
    </row>
    <row r="938" spans="1:8" ht="15.6">
      <c r="A938" s="468" t="s">
        <v>1366</v>
      </c>
      <c r="B938" s="67">
        <v>54</v>
      </c>
      <c r="C938" s="69" t="s">
        <v>58</v>
      </c>
      <c r="D938" s="71" t="s">
        <v>15</v>
      </c>
      <c r="E938" s="70">
        <v>57.419370000000001</v>
      </c>
      <c r="F938" s="74">
        <v>1.8877999999999999</v>
      </c>
      <c r="G938" s="70">
        <v>6.1433900000000001</v>
      </c>
      <c r="H938" s="74">
        <v>0.20200000000000001</v>
      </c>
    </row>
    <row r="939" spans="1:8" ht="15.6">
      <c r="A939" s="468" t="s">
        <v>1367</v>
      </c>
      <c r="B939" s="67">
        <v>55</v>
      </c>
      <c r="C939" s="69" t="s">
        <v>58</v>
      </c>
      <c r="D939" s="71" t="s">
        <v>16</v>
      </c>
      <c r="E939" s="70">
        <v>63.873179999999998</v>
      </c>
      <c r="F939" s="74">
        <v>2.0998999999999999</v>
      </c>
      <c r="G939" s="70">
        <v>6.8684700000000003</v>
      </c>
      <c r="H939" s="74">
        <v>0.2258</v>
      </c>
    </row>
    <row r="940" spans="1:8" ht="15.6">
      <c r="A940" s="468" t="s">
        <v>1368</v>
      </c>
      <c r="B940" s="67">
        <v>56</v>
      </c>
      <c r="C940" s="69" t="s">
        <v>58</v>
      </c>
      <c r="D940" s="71" t="s">
        <v>17</v>
      </c>
      <c r="E940" s="70">
        <v>19.351389999999999</v>
      </c>
      <c r="F940" s="74">
        <v>0.63619999999999999</v>
      </c>
      <c r="G940" s="70">
        <v>2.0268199999999998</v>
      </c>
      <c r="H940" s="74">
        <v>6.6600000000000006E-2</v>
      </c>
    </row>
    <row r="941" spans="1:8" ht="15.6">
      <c r="A941" s="468" t="s">
        <v>1369</v>
      </c>
      <c r="B941" s="67">
        <v>57</v>
      </c>
      <c r="C941" s="69" t="s">
        <v>58</v>
      </c>
      <c r="D941" s="71" t="s">
        <v>10</v>
      </c>
      <c r="E941" s="70">
        <v>19.351389999999999</v>
      </c>
      <c r="F941" s="74">
        <v>0.63619999999999999</v>
      </c>
      <c r="G941" s="70">
        <v>2.0268199999999998</v>
      </c>
      <c r="H941" s="74">
        <v>6.6600000000000006E-2</v>
      </c>
    </row>
    <row r="942" spans="1:8" ht="15.6">
      <c r="A942" s="468" t="s">
        <v>1370</v>
      </c>
      <c r="B942" s="67">
        <v>58</v>
      </c>
      <c r="C942" s="69" t="s">
        <v>58</v>
      </c>
      <c r="D942" s="71" t="s">
        <v>22</v>
      </c>
      <c r="E942" s="70">
        <v>56.817419999999998</v>
      </c>
      <c r="F942" s="74">
        <v>1.8680000000000001</v>
      </c>
      <c r="G942" s="70">
        <v>6.0757300000000001</v>
      </c>
      <c r="H942" s="74">
        <v>0.19980000000000001</v>
      </c>
    </row>
    <row r="943" spans="1:8" ht="15.6">
      <c r="A943" s="468" t="s">
        <v>1371</v>
      </c>
      <c r="B943" s="67">
        <v>59</v>
      </c>
      <c r="C943" s="69" t="s">
        <v>58</v>
      </c>
      <c r="D943" s="71" t="s">
        <v>35</v>
      </c>
      <c r="E943" s="70">
        <v>53.004390000000001</v>
      </c>
      <c r="F943" s="74">
        <v>1.7425999999999999</v>
      </c>
      <c r="G943" s="70">
        <v>5.6473399999999998</v>
      </c>
      <c r="H943" s="74">
        <v>0.1857</v>
      </c>
    </row>
    <row r="944" spans="1:8" ht="15.6">
      <c r="A944" s="468" t="s">
        <v>1372</v>
      </c>
      <c r="B944" s="67">
        <v>60</v>
      </c>
      <c r="C944" s="69" t="s">
        <v>58</v>
      </c>
      <c r="D944" s="71" t="s">
        <v>24</v>
      </c>
      <c r="E944" s="70">
        <v>60.203099999999999</v>
      </c>
      <c r="F944" s="74">
        <v>1.9793000000000001</v>
      </c>
      <c r="G944" s="70">
        <v>6.4561299999999999</v>
      </c>
      <c r="H944" s="74">
        <v>0.21229999999999999</v>
      </c>
    </row>
    <row r="945" spans="1:8" ht="15.6">
      <c r="A945" s="468" t="s">
        <v>1373</v>
      </c>
      <c r="B945" s="67">
        <v>61</v>
      </c>
      <c r="C945" s="69" t="s">
        <v>58</v>
      </c>
      <c r="D945" s="71" t="s">
        <v>37</v>
      </c>
      <c r="E945" s="70">
        <v>55.021929999999998</v>
      </c>
      <c r="F945" s="74">
        <v>1.8089</v>
      </c>
      <c r="G945" s="70">
        <v>5.8740600000000001</v>
      </c>
      <c r="H945" s="74">
        <v>0.19309999999999999</v>
      </c>
    </row>
    <row r="946" spans="1:8" ht="15.6">
      <c r="A946" s="468" t="s">
        <v>1374</v>
      </c>
      <c r="B946" s="67">
        <v>62</v>
      </c>
      <c r="C946" s="69" t="s">
        <v>58</v>
      </c>
      <c r="D946" s="71" t="s">
        <v>38</v>
      </c>
      <c r="E946" s="70">
        <v>45.643859999999997</v>
      </c>
      <c r="F946" s="74">
        <v>1.5005999999999999</v>
      </c>
      <c r="G946" s="70">
        <v>5.1987199999999998</v>
      </c>
      <c r="H946" s="74">
        <v>0.1709</v>
      </c>
    </row>
    <row r="947" spans="1:8" ht="15.6">
      <c r="A947" s="468" t="s">
        <v>1375</v>
      </c>
      <c r="B947" s="67">
        <v>63</v>
      </c>
      <c r="C947" s="69" t="s">
        <v>58</v>
      </c>
      <c r="D947" s="71" t="s">
        <v>26</v>
      </c>
      <c r="E947" s="70">
        <v>60.51943</v>
      </c>
      <c r="F947" s="74">
        <v>1.9897</v>
      </c>
      <c r="G947" s="70">
        <v>6.4916700000000001</v>
      </c>
      <c r="H947" s="74">
        <v>0.21340000000000001</v>
      </c>
    </row>
    <row r="948" spans="1:8" ht="15.6">
      <c r="A948" s="468" t="s">
        <v>1376</v>
      </c>
      <c r="B948" s="67">
        <v>64</v>
      </c>
      <c r="C948" s="69" t="s">
        <v>58</v>
      </c>
      <c r="D948" s="71" t="s">
        <v>52</v>
      </c>
      <c r="E948" s="70">
        <v>18.995509999999999</v>
      </c>
      <c r="F948" s="74">
        <v>0.62450000000000006</v>
      </c>
      <c r="G948" s="70">
        <v>1.98387</v>
      </c>
      <c r="H948" s="74">
        <v>6.5199999999999994E-2</v>
      </c>
    </row>
    <row r="949" spans="1:8" ht="15.6">
      <c r="A949" s="468" t="s">
        <v>1377</v>
      </c>
      <c r="B949" s="67">
        <v>65</v>
      </c>
      <c r="C949" s="69" t="s">
        <v>58</v>
      </c>
      <c r="D949" s="71" t="s">
        <v>40</v>
      </c>
      <c r="E949" s="70">
        <v>45.777389999999997</v>
      </c>
      <c r="F949" s="74">
        <v>1.5049999999999999</v>
      </c>
      <c r="G949" s="70">
        <v>5.2148000000000003</v>
      </c>
      <c r="H949" s="74">
        <v>0.17150000000000001</v>
      </c>
    </row>
    <row r="950" spans="1:8" ht="15.6">
      <c r="A950" s="468" t="s">
        <v>1378</v>
      </c>
      <c r="B950" s="67">
        <v>66</v>
      </c>
      <c r="C950" s="69" t="s">
        <v>58</v>
      </c>
      <c r="D950" s="71" t="s">
        <v>34</v>
      </c>
      <c r="E950" s="70">
        <v>12.403919999999999</v>
      </c>
      <c r="F950" s="74">
        <v>0.4078</v>
      </c>
      <c r="G950" s="70">
        <v>1.1887099999999999</v>
      </c>
      <c r="H950" s="74">
        <v>3.9100000000000003E-2</v>
      </c>
    </row>
    <row r="951" spans="1:8" ht="15.6">
      <c r="A951" s="468" t="s">
        <v>1379</v>
      </c>
      <c r="B951" s="67">
        <v>67</v>
      </c>
      <c r="C951" s="69" t="s">
        <v>58</v>
      </c>
      <c r="D951" s="71" t="s">
        <v>54</v>
      </c>
      <c r="E951" s="70">
        <v>49.58616</v>
      </c>
      <c r="F951" s="74">
        <v>1.6302000000000001</v>
      </c>
      <c r="G951" s="70">
        <v>5.2633099999999997</v>
      </c>
      <c r="H951" s="74">
        <v>0.17299999999999999</v>
      </c>
    </row>
    <row r="952" spans="1:8" ht="15.6">
      <c r="A952" s="468" t="s">
        <v>1380</v>
      </c>
      <c r="B952" s="67">
        <v>68</v>
      </c>
      <c r="C952" s="69" t="s">
        <v>24</v>
      </c>
      <c r="D952" s="71" t="s">
        <v>12</v>
      </c>
      <c r="E952" s="70">
        <v>81.398650000000004</v>
      </c>
      <c r="F952" s="74">
        <v>2.6760999999999999</v>
      </c>
      <c r="G952" s="70">
        <v>6.5448700000000004</v>
      </c>
      <c r="H952" s="74">
        <v>0.2152</v>
      </c>
    </row>
    <row r="953" spans="1:8" ht="15.6">
      <c r="A953" s="468" t="s">
        <v>1381</v>
      </c>
      <c r="B953" s="67">
        <v>69</v>
      </c>
      <c r="C953" s="69" t="s">
        <v>24</v>
      </c>
      <c r="D953" s="71" t="s">
        <v>51</v>
      </c>
      <c r="E953" s="70">
        <v>70.908850000000001</v>
      </c>
      <c r="F953" s="74">
        <v>2.3313000000000001</v>
      </c>
      <c r="G953" s="70">
        <v>5.6618000000000004</v>
      </c>
      <c r="H953" s="74">
        <v>0.18609999999999999</v>
      </c>
    </row>
    <row r="954" spans="1:8" ht="15.6">
      <c r="A954" s="468" t="s">
        <v>1382</v>
      </c>
      <c r="B954" s="67">
        <v>70</v>
      </c>
      <c r="C954" s="69" t="s">
        <v>24</v>
      </c>
      <c r="D954" s="71" t="s">
        <v>13</v>
      </c>
      <c r="E954" s="70">
        <v>66.611279999999994</v>
      </c>
      <c r="F954" s="74">
        <v>2.19</v>
      </c>
      <c r="G954" s="70">
        <v>5.3000299999999996</v>
      </c>
      <c r="H954" s="74">
        <v>0.17430000000000001</v>
      </c>
    </row>
    <row r="955" spans="1:8" ht="15.6">
      <c r="A955" s="468" t="s">
        <v>1383</v>
      </c>
      <c r="B955" s="67">
        <v>71</v>
      </c>
      <c r="C955" s="69" t="s">
        <v>24</v>
      </c>
      <c r="D955" s="71" t="s">
        <v>9</v>
      </c>
      <c r="E955" s="70">
        <v>60.149569999999997</v>
      </c>
      <c r="F955" s="74">
        <v>1.9775</v>
      </c>
      <c r="G955" s="70">
        <v>4.7560399999999996</v>
      </c>
      <c r="H955" s="74">
        <v>0.15640000000000001</v>
      </c>
    </row>
    <row r="956" spans="1:8" ht="15.6">
      <c r="A956" s="468" t="s">
        <v>1384</v>
      </c>
      <c r="B956" s="67">
        <v>72</v>
      </c>
      <c r="C956" s="69" t="s">
        <v>24</v>
      </c>
      <c r="D956" s="71" t="s">
        <v>14</v>
      </c>
      <c r="E956" s="70">
        <v>57.1663</v>
      </c>
      <c r="F956" s="74">
        <v>1.8794</v>
      </c>
      <c r="G956" s="70">
        <v>4.5048899999999996</v>
      </c>
      <c r="H956" s="74">
        <v>0.14810000000000001</v>
      </c>
    </row>
    <row r="957" spans="1:8" ht="15.6">
      <c r="A957" s="468" t="s">
        <v>1385</v>
      </c>
      <c r="B957" s="67">
        <v>73</v>
      </c>
      <c r="C957" s="69" t="s">
        <v>24</v>
      </c>
      <c r="D957" s="71" t="s">
        <v>33</v>
      </c>
      <c r="E957" s="70">
        <v>45.962629999999997</v>
      </c>
      <c r="F957" s="74">
        <v>1.5111000000000001</v>
      </c>
      <c r="G957" s="70">
        <v>3.5617000000000001</v>
      </c>
      <c r="H957" s="74">
        <v>0.1171</v>
      </c>
    </row>
    <row r="958" spans="1:8" ht="15.6">
      <c r="A958" s="468" t="s">
        <v>1386</v>
      </c>
      <c r="B958" s="67">
        <v>74</v>
      </c>
      <c r="C958" s="69" t="s">
        <v>24</v>
      </c>
      <c r="D958" s="71" t="s">
        <v>25</v>
      </c>
      <c r="E958" s="70">
        <v>41.363019999999999</v>
      </c>
      <c r="F958" s="74">
        <v>1.3599000000000001</v>
      </c>
      <c r="G958" s="70">
        <v>3.1744699999999999</v>
      </c>
      <c r="H958" s="74">
        <v>0.10440000000000001</v>
      </c>
    </row>
    <row r="959" spans="1:8" ht="15.6">
      <c r="A959" s="468" t="s">
        <v>1387</v>
      </c>
      <c r="B959" s="67">
        <v>75</v>
      </c>
      <c r="C959" s="69" t="s">
        <v>24</v>
      </c>
      <c r="D959" s="71" t="s">
        <v>31</v>
      </c>
      <c r="E959" s="70">
        <v>23.18967</v>
      </c>
      <c r="F959" s="74">
        <v>0.76239999999999997</v>
      </c>
      <c r="G959" s="70">
        <v>1.64456</v>
      </c>
      <c r="H959" s="74">
        <v>5.4100000000000002E-2</v>
      </c>
    </row>
    <row r="960" spans="1:8" ht="15.6">
      <c r="A960" s="468" t="s">
        <v>1388</v>
      </c>
      <c r="B960" s="67">
        <v>76</v>
      </c>
      <c r="C960" s="69" t="s">
        <v>24</v>
      </c>
      <c r="D960" s="71" t="s">
        <v>45</v>
      </c>
      <c r="E960" s="70">
        <v>33.365870000000001</v>
      </c>
      <c r="F960" s="74">
        <v>1.097</v>
      </c>
      <c r="G960" s="70">
        <v>2.5012500000000002</v>
      </c>
      <c r="H960" s="74">
        <v>8.2199999999999995E-2</v>
      </c>
    </row>
    <row r="961" spans="1:8" ht="15.6">
      <c r="A961" s="468" t="s">
        <v>1389</v>
      </c>
      <c r="B961" s="67">
        <v>77</v>
      </c>
      <c r="C961" s="69" t="s">
        <v>24</v>
      </c>
      <c r="D961" s="71" t="s">
        <v>27</v>
      </c>
      <c r="E961" s="70">
        <v>27.06962</v>
      </c>
      <c r="F961" s="74">
        <v>0.89</v>
      </c>
      <c r="G961" s="70">
        <v>1.97119</v>
      </c>
      <c r="H961" s="74">
        <v>6.4799999999999996E-2</v>
      </c>
    </row>
    <row r="962" spans="1:8" ht="15.6">
      <c r="A962" s="468" t="s">
        <v>1390</v>
      </c>
      <c r="B962" s="67">
        <v>1</v>
      </c>
      <c r="C962" s="69" t="s">
        <v>24</v>
      </c>
      <c r="D962" s="71" t="s">
        <v>21</v>
      </c>
      <c r="E962" s="70">
        <v>22.391529999999999</v>
      </c>
      <c r="F962" s="74">
        <v>0.73619999999999997</v>
      </c>
      <c r="G962" s="70">
        <v>1.57734</v>
      </c>
      <c r="H962" s="74">
        <v>5.1900000000000002E-2</v>
      </c>
    </row>
    <row r="963" spans="1:8" ht="15.6">
      <c r="A963" s="468" t="s">
        <v>1391</v>
      </c>
      <c r="B963" s="67">
        <v>2</v>
      </c>
      <c r="C963" s="69" t="s">
        <v>24</v>
      </c>
      <c r="D963" s="71" t="s">
        <v>32</v>
      </c>
      <c r="E963" s="70">
        <v>39.301679999999998</v>
      </c>
      <c r="F963" s="74">
        <v>1.2921</v>
      </c>
      <c r="G963" s="70">
        <v>3.0009600000000001</v>
      </c>
      <c r="H963" s="74">
        <v>9.8699999999999996E-2</v>
      </c>
    </row>
    <row r="964" spans="1:8" ht="15.6">
      <c r="A964" s="468" t="s">
        <v>1392</v>
      </c>
      <c r="B964" s="67">
        <v>3</v>
      </c>
      <c r="C964" s="69" t="s">
        <v>24</v>
      </c>
      <c r="D964" s="71" t="s">
        <v>30</v>
      </c>
      <c r="E964" s="70">
        <v>21.003620000000002</v>
      </c>
      <c r="F964" s="74">
        <v>0.6905</v>
      </c>
      <c r="G964" s="70">
        <v>1.4605300000000001</v>
      </c>
      <c r="H964" s="74">
        <v>4.8000000000000001E-2</v>
      </c>
    </row>
    <row r="965" spans="1:8" ht="15.6">
      <c r="A965" s="468" t="s">
        <v>1393</v>
      </c>
      <c r="B965" s="67">
        <v>4</v>
      </c>
      <c r="C965" s="69" t="s">
        <v>24</v>
      </c>
      <c r="D965" s="71" t="s">
        <v>28</v>
      </c>
      <c r="E965" s="70">
        <v>20.578700000000001</v>
      </c>
      <c r="F965" s="74">
        <v>0.67659999999999998</v>
      </c>
      <c r="G965" s="70">
        <v>1.4247399999999999</v>
      </c>
      <c r="H965" s="74">
        <v>4.6800000000000001E-2</v>
      </c>
    </row>
    <row r="966" spans="1:8" ht="15.6">
      <c r="A966" s="468" t="s">
        <v>1394</v>
      </c>
      <c r="B966" s="67">
        <v>5</v>
      </c>
      <c r="C966" s="69" t="s">
        <v>24</v>
      </c>
      <c r="D966" s="71" t="s">
        <v>79</v>
      </c>
      <c r="E966" s="70">
        <v>19.381499999999999</v>
      </c>
      <c r="F966" s="74">
        <v>0.63719999999999999</v>
      </c>
      <c r="G966" s="70">
        <v>1.3239700000000001</v>
      </c>
      <c r="H966" s="74">
        <v>4.3499999999999997E-2</v>
      </c>
    </row>
    <row r="967" spans="1:8" ht="15.6">
      <c r="A967" s="468" t="s">
        <v>1395</v>
      </c>
      <c r="B967" s="67">
        <v>6</v>
      </c>
      <c r="C967" s="69" t="s">
        <v>24</v>
      </c>
      <c r="D967" s="71" t="s">
        <v>29</v>
      </c>
      <c r="E967" s="70">
        <v>11.344200000000001</v>
      </c>
      <c r="F967" s="74">
        <v>0.373</v>
      </c>
      <c r="G967" s="70">
        <v>0.64732999999999996</v>
      </c>
      <c r="H967" s="74">
        <v>2.1299999999999999E-2</v>
      </c>
    </row>
    <row r="968" spans="1:8" ht="15.6">
      <c r="A968" s="468" t="s">
        <v>1396</v>
      </c>
      <c r="B968" s="67">
        <v>7</v>
      </c>
      <c r="C968" s="69" t="s">
        <v>24</v>
      </c>
      <c r="D968" s="71" t="s">
        <v>43</v>
      </c>
      <c r="E968" s="70">
        <v>19.103490000000001</v>
      </c>
      <c r="F968" s="74">
        <v>0.62809999999999999</v>
      </c>
      <c r="G968" s="70">
        <v>1.30054</v>
      </c>
      <c r="H968" s="74">
        <v>4.2799999999999998E-2</v>
      </c>
    </row>
    <row r="969" spans="1:8" ht="15.6">
      <c r="A969" s="468" t="s">
        <v>1397</v>
      </c>
      <c r="B969" s="67">
        <v>8</v>
      </c>
      <c r="C969" s="69" t="s">
        <v>24</v>
      </c>
      <c r="D969" s="71" t="s">
        <v>18</v>
      </c>
      <c r="E969" s="70">
        <v>18.388400000000001</v>
      </c>
      <c r="F969" s="74">
        <v>0.60460000000000003</v>
      </c>
      <c r="G969" s="70">
        <v>1.2403500000000001</v>
      </c>
      <c r="H969" s="74">
        <v>4.0800000000000003E-2</v>
      </c>
    </row>
    <row r="970" spans="1:8" ht="15.6">
      <c r="A970" s="468" t="s">
        <v>1398</v>
      </c>
      <c r="B970" s="67">
        <v>9</v>
      </c>
      <c r="C970" s="69" t="s">
        <v>24</v>
      </c>
      <c r="D970" s="71" t="s">
        <v>76</v>
      </c>
      <c r="E970" s="70">
        <v>19.103490000000001</v>
      </c>
      <c r="F970" s="74">
        <v>0.62809999999999999</v>
      </c>
      <c r="G970" s="70">
        <v>1.30054</v>
      </c>
      <c r="H970" s="74">
        <v>4.2799999999999998E-2</v>
      </c>
    </row>
    <row r="971" spans="1:8" ht="15.6">
      <c r="A971" s="468" t="s">
        <v>1399</v>
      </c>
      <c r="B971" s="67">
        <v>10</v>
      </c>
      <c r="C971" s="69" t="s">
        <v>24</v>
      </c>
      <c r="D971" s="71" t="s">
        <v>19</v>
      </c>
      <c r="E971" s="70">
        <v>10.765980000000001</v>
      </c>
      <c r="F971" s="74">
        <v>0.35399999999999998</v>
      </c>
      <c r="G971" s="70">
        <v>0.59865999999999997</v>
      </c>
      <c r="H971" s="74">
        <v>1.9699999999999999E-2</v>
      </c>
    </row>
    <row r="972" spans="1:8" ht="15.6">
      <c r="A972" s="468" t="s">
        <v>1400</v>
      </c>
      <c r="B972" s="67">
        <v>11</v>
      </c>
      <c r="C972" s="69" t="s">
        <v>24</v>
      </c>
      <c r="D972" s="71" t="s">
        <v>23</v>
      </c>
      <c r="E972" s="70">
        <v>11.755129999999999</v>
      </c>
      <c r="F972" s="74">
        <v>0.38650000000000001</v>
      </c>
      <c r="G972" s="70">
        <v>0.68193000000000004</v>
      </c>
      <c r="H972" s="74">
        <v>2.24E-2</v>
      </c>
    </row>
    <row r="973" spans="1:8" ht="15.6">
      <c r="A973" s="468" t="s">
        <v>1401</v>
      </c>
      <c r="B973" s="67">
        <v>12</v>
      </c>
      <c r="C973" s="69" t="s">
        <v>24</v>
      </c>
      <c r="D973" s="71" t="s">
        <v>20</v>
      </c>
      <c r="E973" s="70">
        <v>8.4025999999999996</v>
      </c>
      <c r="F973" s="74">
        <v>0.27629999999999999</v>
      </c>
      <c r="G973" s="70">
        <v>0.39968999999999999</v>
      </c>
      <c r="H973" s="74">
        <v>1.3100000000000001E-2</v>
      </c>
    </row>
    <row r="974" spans="1:8" ht="15.6">
      <c r="A974" s="468" t="s">
        <v>1402</v>
      </c>
      <c r="B974" s="67">
        <v>13</v>
      </c>
      <c r="C974" s="69" t="s">
        <v>24</v>
      </c>
      <c r="D974" s="71" t="s">
        <v>53</v>
      </c>
      <c r="E974" s="70">
        <v>24.588830000000002</v>
      </c>
      <c r="F974" s="74">
        <v>0.80840000000000001</v>
      </c>
      <c r="G974" s="70">
        <v>1.7623500000000001</v>
      </c>
      <c r="H974" s="74">
        <v>5.79E-2</v>
      </c>
    </row>
    <row r="975" spans="1:8" ht="15.6">
      <c r="A975" s="468" t="s">
        <v>1403</v>
      </c>
      <c r="B975" s="67">
        <v>14</v>
      </c>
      <c r="C975" s="69" t="s">
        <v>24</v>
      </c>
      <c r="D975" s="71" t="s">
        <v>41</v>
      </c>
      <c r="E975" s="70">
        <v>24.676130000000001</v>
      </c>
      <c r="F975" s="74">
        <v>0.81130000000000002</v>
      </c>
      <c r="G975" s="70">
        <v>1.7696799999999999</v>
      </c>
      <c r="H975" s="74">
        <v>5.8200000000000002E-2</v>
      </c>
    </row>
    <row r="976" spans="1:8" ht="15.6">
      <c r="A976" s="468" t="s">
        <v>1404</v>
      </c>
      <c r="B976" s="67">
        <v>15</v>
      </c>
      <c r="C976" s="69" t="s">
        <v>24</v>
      </c>
      <c r="D976" s="71" t="s">
        <v>36</v>
      </c>
      <c r="E976" s="70">
        <v>22.369630000000001</v>
      </c>
      <c r="F976" s="74">
        <v>0.73540000000000005</v>
      </c>
      <c r="G976" s="70">
        <v>1.5755300000000001</v>
      </c>
      <c r="H976" s="74">
        <v>5.1799999999999999E-2</v>
      </c>
    </row>
    <row r="977" spans="1:8" ht="15.6">
      <c r="A977" s="468" t="s">
        <v>1405</v>
      </c>
      <c r="B977" s="67">
        <v>16</v>
      </c>
      <c r="C977" s="69" t="s">
        <v>24</v>
      </c>
      <c r="D977" s="71" t="s">
        <v>15</v>
      </c>
      <c r="E977" s="70">
        <v>7.7568599999999996</v>
      </c>
      <c r="F977" s="74">
        <v>0.255</v>
      </c>
      <c r="G977" s="70">
        <v>0.34533999999999998</v>
      </c>
      <c r="H977" s="74">
        <v>1.14E-2</v>
      </c>
    </row>
    <row r="978" spans="1:8" ht="15.6">
      <c r="A978" s="468" t="s">
        <v>1406</v>
      </c>
      <c r="B978" s="67">
        <v>17</v>
      </c>
      <c r="C978" s="69" t="s">
        <v>24</v>
      </c>
      <c r="D978" s="71" t="s">
        <v>16</v>
      </c>
      <c r="E978" s="70">
        <v>13.44782</v>
      </c>
      <c r="F978" s="74">
        <v>0.44209999999999999</v>
      </c>
      <c r="G978" s="70">
        <v>0.82442000000000004</v>
      </c>
      <c r="H978" s="74">
        <v>2.7099999999999999E-2</v>
      </c>
    </row>
    <row r="979" spans="1:8" ht="15.6">
      <c r="A979" s="468" t="s">
        <v>1407</v>
      </c>
      <c r="B979" s="67">
        <v>18</v>
      </c>
      <c r="C979" s="69" t="s">
        <v>24</v>
      </c>
      <c r="D979" s="71" t="s">
        <v>17</v>
      </c>
      <c r="E979" s="70">
        <v>60.597299999999997</v>
      </c>
      <c r="F979" s="74">
        <v>1.9922</v>
      </c>
      <c r="G979" s="70">
        <v>4.7937399999999997</v>
      </c>
      <c r="H979" s="74">
        <v>0.15759999999999999</v>
      </c>
    </row>
    <row r="980" spans="1:8" ht="15.6">
      <c r="A980" s="468" t="s">
        <v>1408</v>
      </c>
      <c r="B980" s="67">
        <v>19</v>
      </c>
      <c r="C980" s="69" t="s">
        <v>24</v>
      </c>
      <c r="D980" s="71" t="s">
        <v>10</v>
      </c>
      <c r="E980" s="70">
        <v>60.597299999999997</v>
      </c>
      <c r="F980" s="74">
        <v>1.9922</v>
      </c>
      <c r="G980" s="70">
        <v>4.7937399999999997</v>
      </c>
      <c r="H980" s="74">
        <v>0.15759999999999999</v>
      </c>
    </row>
    <row r="981" spans="1:8" ht="15.6">
      <c r="A981" s="468" t="s">
        <v>1409</v>
      </c>
      <c r="B981" s="67">
        <v>20</v>
      </c>
      <c r="C981" s="69" t="s">
        <v>24</v>
      </c>
      <c r="D981" s="71" t="s">
        <v>22</v>
      </c>
      <c r="E981" s="70">
        <v>9.0045500000000001</v>
      </c>
      <c r="F981" s="74">
        <v>0.29599999999999999</v>
      </c>
      <c r="G981" s="70">
        <v>0.45040000000000002</v>
      </c>
      <c r="H981" s="74">
        <v>1.4800000000000001E-2</v>
      </c>
    </row>
    <row r="982" spans="1:8" ht="15.6">
      <c r="A982" s="468" t="s">
        <v>1410</v>
      </c>
      <c r="B982" s="67">
        <v>21</v>
      </c>
      <c r="C982" s="69" t="s">
        <v>24</v>
      </c>
      <c r="D982" s="71" t="s">
        <v>35</v>
      </c>
      <c r="E982" s="70">
        <v>20.027249999999999</v>
      </c>
      <c r="F982" s="74">
        <v>0.65839999999999999</v>
      </c>
      <c r="G982" s="70">
        <v>1.3783099999999999</v>
      </c>
      <c r="H982" s="74">
        <v>4.53E-2</v>
      </c>
    </row>
    <row r="983" spans="1:8" ht="15.6">
      <c r="A983" s="468" t="s">
        <v>1411</v>
      </c>
      <c r="B983" s="67">
        <v>22</v>
      </c>
      <c r="C983" s="69" t="s">
        <v>24</v>
      </c>
      <c r="D983" s="71" t="s">
        <v>24</v>
      </c>
      <c r="E983" s="70">
        <v>4.0423799999999996</v>
      </c>
      <c r="F983" s="74">
        <v>0.13289999999999999</v>
      </c>
      <c r="G983" s="70">
        <v>3.261E-2</v>
      </c>
      <c r="H983" s="74">
        <v>1.1000000000000001E-3</v>
      </c>
    </row>
    <row r="984" spans="1:8" ht="15.6">
      <c r="A984" s="468" t="s">
        <v>1412</v>
      </c>
      <c r="B984" s="67">
        <v>23</v>
      </c>
      <c r="C984" s="69" t="s">
        <v>24</v>
      </c>
      <c r="D984" s="71" t="s">
        <v>37</v>
      </c>
      <c r="E984" s="70">
        <v>22.312149999999999</v>
      </c>
      <c r="F984" s="74">
        <v>0.73360000000000003</v>
      </c>
      <c r="G984" s="70">
        <v>1.57067</v>
      </c>
      <c r="H984" s="74">
        <v>5.16E-2</v>
      </c>
    </row>
    <row r="985" spans="1:8" ht="15.6">
      <c r="A985" s="468" t="s">
        <v>1413</v>
      </c>
      <c r="B985" s="67">
        <v>24</v>
      </c>
      <c r="C985" s="69" t="s">
        <v>24</v>
      </c>
      <c r="D985" s="71" t="s">
        <v>38</v>
      </c>
      <c r="E985" s="70">
        <v>18.978179999999998</v>
      </c>
      <c r="F985" s="74">
        <v>0.62390000000000001</v>
      </c>
      <c r="G985" s="70">
        <v>1.2900100000000001</v>
      </c>
      <c r="H985" s="74">
        <v>4.24E-2</v>
      </c>
    </row>
    <row r="986" spans="1:8" ht="15.6">
      <c r="A986" s="468" t="s">
        <v>1414</v>
      </c>
      <c r="B986" s="67">
        <v>25</v>
      </c>
      <c r="C986" s="69" t="s">
        <v>24</v>
      </c>
      <c r="D986" s="71" t="s">
        <v>26</v>
      </c>
      <c r="E986" s="70">
        <v>6.2637</v>
      </c>
      <c r="F986" s="74">
        <v>0.2059</v>
      </c>
      <c r="G986" s="70">
        <v>0.21962999999999999</v>
      </c>
      <c r="H986" s="74">
        <v>7.1999999999999998E-3</v>
      </c>
    </row>
    <row r="987" spans="1:8" ht="15.6">
      <c r="A987" s="468" t="s">
        <v>1415</v>
      </c>
      <c r="B987" s="67">
        <v>26</v>
      </c>
      <c r="C987" s="69" t="s">
        <v>24</v>
      </c>
      <c r="D987" s="71" t="s">
        <v>52</v>
      </c>
      <c r="E987" s="70">
        <v>57.1663</v>
      </c>
      <c r="F987" s="74">
        <v>1.8794</v>
      </c>
      <c r="G987" s="70">
        <v>4.5048899999999996</v>
      </c>
      <c r="H987" s="74">
        <v>0.14810000000000001</v>
      </c>
    </row>
    <row r="988" spans="1:8" ht="15.6">
      <c r="A988" s="468" t="s">
        <v>1416</v>
      </c>
      <c r="B988" s="67">
        <v>27</v>
      </c>
      <c r="C988" s="69" t="s">
        <v>24</v>
      </c>
      <c r="D988" s="71" t="s">
        <v>40</v>
      </c>
      <c r="E988" s="70">
        <v>25.164929999999998</v>
      </c>
      <c r="F988" s="74">
        <v>0.82730000000000004</v>
      </c>
      <c r="G988" s="70">
        <v>1.8108599999999999</v>
      </c>
      <c r="H988" s="74">
        <v>5.9499999999999997E-2</v>
      </c>
    </row>
    <row r="989" spans="1:8" ht="15.6">
      <c r="A989" s="468" t="s">
        <v>1417</v>
      </c>
      <c r="B989" s="67">
        <v>28</v>
      </c>
      <c r="C989" s="69" t="s">
        <v>24</v>
      </c>
      <c r="D989" s="71" t="s">
        <v>34</v>
      </c>
      <c r="E989" s="70">
        <v>66.611279999999994</v>
      </c>
      <c r="F989" s="74">
        <v>2.19</v>
      </c>
      <c r="G989" s="70">
        <v>5.3000299999999996</v>
      </c>
      <c r="H989" s="74">
        <v>0.17430000000000001</v>
      </c>
    </row>
    <row r="990" spans="1:8" ht="15.6">
      <c r="A990" s="468" t="s">
        <v>1418</v>
      </c>
      <c r="B990" s="67">
        <v>29</v>
      </c>
      <c r="C990" s="69" t="s">
        <v>24</v>
      </c>
      <c r="D990" s="71" t="s">
        <v>54</v>
      </c>
      <c r="E990" s="70">
        <v>24.588830000000002</v>
      </c>
      <c r="F990" s="74">
        <v>0.80840000000000001</v>
      </c>
      <c r="G990" s="70">
        <v>1.7623500000000001</v>
      </c>
      <c r="H990" s="74">
        <v>5.79E-2</v>
      </c>
    </row>
    <row r="991" spans="1:8" ht="15.6">
      <c r="A991" s="468" t="s">
        <v>1419</v>
      </c>
      <c r="B991" s="67">
        <v>30</v>
      </c>
      <c r="C991" s="69" t="s">
        <v>37</v>
      </c>
      <c r="D991" s="71" t="s">
        <v>12</v>
      </c>
      <c r="E991" s="70">
        <v>74.48433</v>
      </c>
      <c r="F991" s="74">
        <v>2.4487999999999999</v>
      </c>
      <c r="G991" s="70">
        <v>5.9627999999999997</v>
      </c>
      <c r="H991" s="74">
        <v>0.19600000000000001</v>
      </c>
    </row>
    <row r="992" spans="1:8" ht="15.6">
      <c r="A992" s="468" t="s">
        <v>1420</v>
      </c>
      <c r="B992" s="67">
        <v>31</v>
      </c>
      <c r="C992" s="69" t="s">
        <v>37</v>
      </c>
      <c r="D992" s="71" t="s">
        <v>51</v>
      </c>
      <c r="E992" s="70">
        <v>63.994840000000003</v>
      </c>
      <c r="F992" s="74">
        <v>2.1038999999999999</v>
      </c>
      <c r="G992" s="70">
        <v>5.0797699999999999</v>
      </c>
      <c r="H992" s="74">
        <v>0.16700000000000001</v>
      </c>
    </row>
    <row r="993" spans="1:8" ht="15.6">
      <c r="A993" s="468" t="s">
        <v>1421</v>
      </c>
      <c r="B993" s="67">
        <v>32</v>
      </c>
      <c r="C993" s="69" t="s">
        <v>37</v>
      </c>
      <c r="D993" s="71" t="s">
        <v>13</v>
      </c>
      <c r="E993" s="70">
        <v>59.697270000000003</v>
      </c>
      <c r="F993" s="74">
        <v>1.9626999999999999</v>
      </c>
      <c r="G993" s="70">
        <v>4.7179599999999997</v>
      </c>
      <c r="H993" s="74">
        <v>0.15509999999999999</v>
      </c>
    </row>
    <row r="994" spans="1:8" ht="15.6">
      <c r="A994" s="468" t="s">
        <v>1422</v>
      </c>
      <c r="B994" s="67">
        <v>33</v>
      </c>
      <c r="C994" s="69" t="s">
        <v>37</v>
      </c>
      <c r="D994" s="71" t="s">
        <v>9</v>
      </c>
      <c r="E994" s="70">
        <v>53.196010000000001</v>
      </c>
      <c r="F994" s="74">
        <v>1.7488999999999999</v>
      </c>
      <c r="G994" s="70">
        <v>4.1706399999999997</v>
      </c>
      <c r="H994" s="74">
        <v>0.1371</v>
      </c>
    </row>
    <row r="995" spans="1:8" ht="15.6">
      <c r="A995" s="468" t="s">
        <v>1423</v>
      </c>
      <c r="B995" s="67">
        <v>34</v>
      </c>
      <c r="C995" s="69" t="s">
        <v>37</v>
      </c>
      <c r="D995" s="71" t="s">
        <v>14</v>
      </c>
      <c r="E995" s="70">
        <v>53.172899999999998</v>
      </c>
      <c r="F995" s="74">
        <v>1.7482</v>
      </c>
      <c r="G995" s="70">
        <v>4.1687000000000003</v>
      </c>
      <c r="H995" s="74">
        <v>0.1371</v>
      </c>
    </row>
    <row r="996" spans="1:8" ht="15.6">
      <c r="A996" s="468" t="s">
        <v>1424</v>
      </c>
      <c r="B996" s="67">
        <v>35</v>
      </c>
      <c r="C996" s="69" t="s">
        <v>37</v>
      </c>
      <c r="D996" s="71" t="s">
        <v>33</v>
      </c>
      <c r="E996" s="70">
        <v>42.926430000000003</v>
      </c>
      <c r="F996" s="74">
        <v>1.4113</v>
      </c>
      <c r="G996" s="70">
        <v>3.30613</v>
      </c>
      <c r="H996" s="74">
        <v>0.1087</v>
      </c>
    </row>
    <row r="997" spans="1:8" ht="15.6">
      <c r="A997" s="468" t="s">
        <v>1425</v>
      </c>
      <c r="B997" s="67">
        <v>36</v>
      </c>
      <c r="C997" s="69" t="s">
        <v>37</v>
      </c>
      <c r="D997" s="71" t="s">
        <v>25</v>
      </c>
      <c r="E997" s="70">
        <v>38.32743</v>
      </c>
      <c r="F997" s="74">
        <v>1.2601</v>
      </c>
      <c r="G997" s="70">
        <v>2.9189099999999999</v>
      </c>
      <c r="H997" s="74">
        <v>9.6000000000000002E-2</v>
      </c>
    </row>
    <row r="998" spans="1:8" ht="15.6">
      <c r="A998" s="468" t="s">
        <v>1426</v>
      </c>
      <c r="B998" s="67">
        <v>37</v>
      </c>
      <c r="C998" s="69" t="s">
        <v>37</v>
      </c>
      <c r="D998" s="71" t="s">
        <v>31</v>
      </c>
      <c r="E998" s="70">
        <v>20.136140000000001</v>
      </c>
      <c r="F998" s="74">
        <v>0.66200000000000003</v>
      </c>
      <c r="G998" s="70">
        <v>1.3874899999999999</v>
      </c>
      <c r="H998" s="74">
        <v>4.5600000000000002E-2</v>
      </c>
    </row>
    <row r="999" spans="1:8" ht="15.6">
      <c r="A999" s="468" t="s">
        <v>1427</v>
      </c>
      <c r="B999" s="67">
        <v>38</v>
      </c>
      <c r="C999" s="69" t="s">
        <v>37</v>
      </c>
      <c r="D999" s="71" t="s">
        <v>45</v>
      </c>
      <c r="E999" s="70">
        <v>30.330279999999998</v>
      </c>
      <c r="F999" s="74">
        <v>0.99719999999999998</v>
      </c>
      <c r="G999" s="70">
        <v>2.2456800000000001</v>
      </c>
      <c r="H999" s="74">
        <v>7.3800000000000004E-2</v>
      </c>
    </row>
    <row r="1000" spans="1:8" ht="15.6">
      <c r="A1000" s="468" t="s">
        <v>1428</v>
      </c>
      <c r="B1000" s="67">
        <v>39</v>
      </c>
      <c r="C1000" s="69" t="s">
        <v>37</v>
      </c>
      <c r="D1000" s="71" t="s">
        <v>27</v>
      </c>
      <c r="E1000" s="70">
        <v>24.034030000000001</v>
      </c>
      <c r="F1000" s="74">
        <v>0.79020000000000001</v>
      </c>
      <c r="G1000" s="70">
        <v>1.7156400000000001</v>
      </c>
      <c r="H1000" s="74">
        <v>5.6399999999999999E-2</v>
      </c>
    </row>
    <row r="1001" spans="1:8" ht="15.6">
      <c r="A1001" s="468" t="s">
        <v>1429</v>
      </c>
      <c r="B1001" s="67">
        <v>40</v>
      </c>
      <c r="C1001" s="69" t="s">
        <v>37</v>
      </c>
      <c r="D1001" s="71" t="s">
        <v>21</v>
      </c>
      <c r="E1001" s="70">
        <v>19.355340000000002</v>
      </c>
      <c r="F1001" s="74">
        <v>0.63629999999999998</v>
      </c>
      <c r="G1001" s="70">
        <v>1.3217699999999999</v>
      </c>
      <c r="H1001" s="74">
        <v>4.3499999999999997E-2</v>
      </c>
    </row>
    <row r="1002" spans="1:8" ht="15.6">
      <c r="A1002" s="468" t="s">
        <v>1430</v>
      </c>
      <c r="B1002" s="67">
        <v>41</v>
      </c>
      <c r="C1002" s="69" t="s">
        <v>37</v>
      </c>
      <c r="D1002" s="71" t="s">
        <v>32</v>
      </c>
      <c r="E1002" s="70">
        <v>26.009899999999998</v>
      </c>
      <c r="F1002" s="74">
        <v>0.85509999999999997</v>
      </c>
      <c r="G1002" s="70">
        <v>1.8819999999999999</v>
      </c>
      <c r="H1002" s="74">
        <v>6.1899999999999997E-2</v>
      </c>
    </row>
    <row r="1003" spans="1:8" ht="15.6">
      <c r="A1003" s="468" t="s">
        <v>1431</v>
      </c>
      <c r="B1003" s="67">
        <v>42</v>
      </c>
      <c r="C1003" s="69" t="s">
        <v>37</v>
      </c>
      <c r="D1003" s="71" t="s">
        <v>30</v>
      </c>
      <c r="E1003" s="70">
        <v>11.70129</v>
      </c>
      <c r="F1003" s="74">
        <v>0.38469999999999999</v>
      </c>
      <c r="G1003" s="70">
        <v>0.67739000000000005</v>
      </c>
      <c r="H1003" s="74">
        <v>2.23E-2</v>
      </c>
    </row>
    <row r="1004" spans="1:8" ht="15.6">
      <c r="A1004" s="468" t="s">
        <v>1432</v>
      </c>
      <c r="B1004" s="67">
        <v>43</v>
      </c>
      <c r="C1004" s="69" t="s">
        <v>37</v>
      </c>
      <c r="D1004" s="71" t="s">
        <v>28</v>
      </c>
      <c r="E1004" s="70">
        <v>5.9421999999999997</v>
      </c>
      <c r="F1004" s="74">
        <v>0.19539999999999999</v>
      </c>
      <c r="G1004" s="70">
        <v>0.19253999999999999</v>
      </c>
      <c r="H1004" s="74">
        <v>6.3E-3</v>
      </c>
    </row>
    <row r="1005" spans="1:8" ht="15.6">
      <c r="A1005" s="468" t="s">
        <v>1433</v>
      </c>
      <c r="B1005" s="67">
        <v>44</v>
      </c>
      <c r="C1005" s="69" t="s">
        <v>37</v>
      </c>
      <c r="D1005" s="71" t="s">
        <v>79</v>
      </c>
      <c r="E1005" s="70">
        <v>6.97241</v>
      </c>
      <c r="F1005" s="74">
        <v>0.22919999999999999</v>
      </c>
      <c r="G1005" s="70">
        <v>0.27928999999999998</v>
      </c>
      <c r="H1005" s="74">
        <v>9.1999999999999998E-3</v>
      </c>
    </row>
    <row r="1006" spans="1:8" ht="15.6">
      <c r="A1006" s="468" t="s">
        <v>1434</v>
      </c>
      <c r="B1006" s="67">
        <v>45</v>
      </c>
      <c r="C1006" s="69" t="s">
        <v>37</v>
      </c>
      <c r="D1006" s="71" t="s">
        <v>29</v>
      </c>
      <c r="E1006" s="70">
        <v>15.05017</v>
      </c>
      <c r="F1006" s="74">
        <v>0.49480000000000002</v>
      </c>
      <c r="G1006" s="70">
        <v>0.95933000000000002</v>
      </c>
      <c r="H1006" s="74">
        <v>3.15E-2</v>
      </c>
    </row>
    <row r="1007" spans="1:8" ht="15.6">
      <c r="A1007" s="468" t="s">
        <v>1435</v>
      </c>
      <c r="B1007" s="67">
        <v>46</v>
      </c>
      <c r="C1007" s="69" t="s">
        <v>37</v>
      </c>
      <c r="D1007" s="71" t="s">
        <v>43</v>
      </c>
      <c r="E1007" s="70">
        <v>7.2510300000000001</v>
      </c>
      <c r="F1007" s="74">
        <v>0.2384</v>
      </c>
      <c r="G1007" s="70">
        <v>0.30274000000000001</v>
      </c>
      <c r="H1007" s="74">
        <v>0.01</v>
      </c>
    </row>
    <row r="1008" spans="1:8" ht="15.6">
      <c r="A1008" s="468" t="s">
        <v>1436</v>
      </c>
      <c r="B1008" s="67">
        <v>47</v>
      </c>
      <c r="C1008" s="69" t="s">
        <v>37</v>
      </c>
      <c r="D1008" s="71" t="s">
        <v>18</v>
      </c>
      <c r="E1008" s="70">
        <v>8.3071000000000002</v>
      </c>
      <c r="F1008" s="74">
        <v>0.27310000000000001</v>
      </c>
      <c r="G1008" s="70">
        <v>0.39165</v>
      </c>
      <c r="H1008" s="74">
        <v>1.29E-2</v>
      </c>
    </row>
    <row r="1009" spans="1:8" ht="15.6">
      <c r="A1009" s="468" t="s">
        <v>1437</v>
      </c>
      <c r="B1009" s="67">
        <v>48</v>
      </c>
      <c r="C1009" s="69" t="s">
        <v>37</v>
      </c>
      <c r="D1009" s="71" t="s">
        <v>76</v>
      </c>
      <c r="E1009" s="70">
        <v>7.2510300000000001</v>
      </c>
      <c r="F1009" s="74">
        <v>0.2384</v>
      </c>
      <c r="G1009" s="70">
        <v>0.30274000000000001</v>
      </c>
      <c r="H1009" s="74">
        <v>0.01</v>
      </c>
    </row>
    <row r="1010" spans="1:8" ht="15.6">
      <c r="A1010" s="468" t="s">
        <v>1438</v>
      </c>
      <c r="B1010" s="67">
        <v>49</v>
      </c>
      <c r="C1010" s="69" t="s">
        <v>37</v>
      </c>
      <c r="D1010" s="71" t="s">
        <v>19</v>
      </c>
      <c r="E1010" s="70">
        <v>18.373799999999999</v>
      </c>
      <c r="F1010" s="74">
        <v>0.60409999999999997</v>
      </c>
      <c r="G1010" s="70">
        <v>1.2391300000000001</v>
      </c>
      <c r="H1010" s="74">
        <v>4.07E-2</v>
      </c>
    </row>
    <row r="1011" spans="1:8" ht="15.6">
      <c r="A1011" s="468" t="s">
        <v>1439</v>
      </c>
      <c r="B1011" s="67">
        <v>50</v>
      </c>
      <c r="C1011" s="69" t="s">
        <v>37</v>
      </c>
      <c r="D1011" s="71" t="s">
        <v>23</v>
      </c>
      <c r="E1011" s="70">
        <v>14.59909</v>
      </c>
      <c r="F1011" s="74">
        <v>0.48</v>
      </c>
      <c r="G1011" s="70">
        <v>0.92135</v>
      </c>
      <c r="H1011" s="74">
        <v>3.0300000000000001E-2</v>
      </c>
    </row>
    <row r="1012" spans="1:8" ht="15.6">
      <c r="A1012" s="468" t="s">
        <v>1440</v>
      </c>
      <c r="B1012" s="67">
        <v>51</v>
      </c>
      <c r="C1012" s="69" t="s">
        <v>37</v>
      </c>
      <c r="D1012" s="71" t="s">
        <v>20</v>
      </c>
      <c r="E1012" s="70">
        <v>22.684139999999999</v>
      </c>
      <c r="F1012" s="74">
        <v>0.74580000000000002</v>
      </c>
      <c r="G1012" s="70">
        <v>1.6019699999999999</v>
      </c>
      <c r="H1012" s="74">
        <v>5.2699999999999997E-2</v>
      </c>
    </row>
    <row r="1013" spans="1:8" ht="15.6">
      <c r="A1013" s="468" t="s">
        <v>1441</v>
      </c>
      <c r="B1013" s="67">
        <v>52</v>
      </c>
      <c r="C1013" s="69" t="s">
        <v>37</v>
      </c>
      <c r="D1013" s="71" t="s">
        <v>53</v>
      </c>
      <c r="E1013" s="70">
        <v>11.29705</v>
      </c>
      <c r="F1013" s="74">
        <v>0.37140000000000001</v>
      </c>
      <c r="G1013" s="70">
        <v>0.64336000000000004</v>
      </c>
      <c r="H1013" s="74">
        <v>2.12E-2</v>
      </c>
    </row>
    <row r="1014" spans="1:8" ht="15.6">
      <c r="A1014" s="468" t="s">
        <v>1442</v>
      </c>
      <c r="B1014" s="67">
        <v>53</v>
      </c>
      <c r="C1014" s="69" t="s">
        <v>37</v>
      </c>
      <c r="D1014" s="71" t="s">
        <v>41</v>
      </c>
      <c r="E1014" s="70">
        <v>11.38405</v>
      </c>
      <c r="F1014" s="74">
        <v>0.37430000000000002</v>
      </c>
      <c r="G1014" s="70">
        <v>0.65068999999999999</v>
      </c>
      <c r="H1014" s="74">
        <v>2.1399999999999999E-2</v>
      </c>
    </row>
    <row r="1015" spans="1:8" ht="15.6">
      <c r="A1015" s="468" t="s">
        <v>1443</v>
      </c>
      <c r="B1015" s="67">
        <v>54</v>
      </c>
      <c r="C1015" s="69" t="s">
        <v>37</v>
      </c>
      <c r="D1015" s="71" t="s">
        <v>36</v>
      </c>
      <c r="E1015" s="70">
        <v>4.9770799999999999</v>
      </c>
      <c r="F1015" s="74">
        <v>0.1636</v>
      </c>
      <c r="G1015" s="70">
        <v>0.11132</v>
      </c>
      <c r="H1015" s="74">
        <v>3.7000000000000002E-3</v>
      </c>
    </row>
    <row r="1016" spans="1:8" ht="15.6">
      <c r="A1016" s="468" t="s">
        <v>1444</v>
      </c>
      <c r="B1016" s="67">
        <v>55</v>
      </c>
      <c r="C1016" s="69" t="s">
        <v>37</v>
      </c>
      <c r="D1016" s="71" t="s">
        <v>15</v>
      </c>
      <c r="E1016" s="70">
        <v>18.597359999999998</v>
      </c>
      <c r="F1016" s="74">
        <v>0.61140000000000005</v>
      </c>
      <c r="G1016" s="70">
        <v>1.2579400000000001</v>
      </c>
      <c r="H1016" s="74">
        <v>4.1399999999999999E-2</v>
      </c>
    </row>
    <row r="1017" spans="1:8" ht="15.6">
      <c r="A1017" s="468" t="s">
        <v>1445</v>
      </c>
      <c r="B1017" s="67">
        <v>56</v>
      </c>
      <c r="C1017" s="69" t="s">
        <v>37</v>
      </c>
      <c r="D1017" s="71" t="s">
        <v>16</v>
      </c>
      <c r="E1017" s="70">
        <v>27.210139999999999</v>
      </c>
      <c r="F1017" s="74">
        <v>0.89459999999999995</v>
      </c>
      <c r="G1017" s="70">
        <v>1.9830000000000001</v>
      </c>
      <c r="H1017" s="74">
        <v>6.5199999999999994E-2</v>
      </c>
    </row>
    <row r="1018" spans="1:8" ht="15.6">
      <c r="A1018" s="468" t="s">
        <v>1446</v>
      </c>
      <c r="B1018" s="67">
        <v>57</v>
      </c>
      <c r="C1018" s="69" t="s">
        <v>37</v>
      </c>
      <c r="D1018" s="71" t="s">
        <v>17</v>
      </c>
      <c r="E1018" s="70">
        <v>49.741590000000002</v>
      </c>
      <c r="F1018" s="74">
        <v>1.6353</v>
      </c>
      <c r="G1018" s="70">
        <v>3.8798499999999998</v>
      </c>
      <c r="H1018" s="74">
        <v>0.12759999999999999</v>
      </c>
    </row>
    <row r="1019" spans="1:8" ht="15.6">
      <c r="A1019" s="468" t="s">
        <v>1447</v>
      </c>
      <c r="B1019" s="67">
        <v>58</v>
      </c>
      <c r="C1019" s="69" t="s">
        <v>37</v>
      </c>
      <c r="D1019" s="71" t="s">
        <v>10</v>
      </c>
      <c r="E1019" s="70">
        <v>49.741590000000002</v>
      </c>
      <c r="F1019" s="74">
        <v>1.6353</v>
      </c>
      <c r="G1019" s="70">
        <v>3.8798499999999998</v>
      </c>
      <c r="H1019" s="74">
        <v>0.12759999999999999</v>
      </c>
    </row>
    <row r="1020" spans="1:8" ht="15.6">
      <c r="A1020" s="468" t="s">
        <v>1448</v>
      </c>
      <c r="B1020" s="67">
        <v>59</v>
      </c>
      <c r="C1020" s="69" t="s">
        <v>37</v>
      </c>
      <c r="D1020" s="71" t="s">
        <v>22</v>
      </c>
      <c r="E1020" s="70">
        <v>17.572929999999999</v>
      </c>
      <c r="F1020" s="74">
        <v>0.57769999999999999</v>
      </c>
      <c r="G1020" s="70">
        <v>1.17171</v>
      </c>
      <c r="H1020" s="74">
        <v>3.85E-2</v>
      </c>
    </row>
    <row r="1021" spans="1:8" ht="15.6">
      <c r="A1021" s="468" t="s">
        <v>1449</v>
      </c>
      <c r="B1021" s="67">
        <v>60</v>
      </c>
      <c r="C1021" s="69" t="s">
        <v>37</v>
      </c>
      <c r="D1021" s="71" t="s">
        <v>35</v>
      </c>
      <c r="E1021" s="70">
        <v>6.7351599999999996</v>
      </c>
      <c r="F1021" s="74">
        <v>0.22140000000000001</v>
      </c>
      <c r="G1021" s="70">
        <v>0.25931999999999999</v>
      </c>
      <c r="H1021" s="74">
        <v>8.5000000000000006E-3</v>
      </c>
    </row>
    <row r="1022" spans="1:8" ht="15.6">
      <c r="A1022" s="468" t="s">
        <v>1450</v>
      </c>
      <c r="B1022" s="67">
        <v>61</v>
      </c>
      <c r="C1022" s="69" t="s">
        <v>37</v>
      </c>
      <c r="D1022" s="71" t="s">
        <v>24</v>
      </c>
      <c r="E1022" s="70">
        <v>22.312149999999999</v>
      </c>
      <c r="F1022" s="74">
        <v>0.73360000000000003</v>
      </c>
      <c r="G1022" s="70">
        <v>1.57067</v>
      </c>
      <c r="H1022" s="74">
        <v>5.16E-2</v>
      </c>
    </row>
    <row r="1023" spans="1:8" ht="15.6">
      <c r="A1023" s="468" t="s">
        <v>1451</v>
      </c>
      <c r="B1023" s="67">
        <v>62</v>
      </c>
      <c r="C1023" s="69" t="s">
        <v>37</v>
      </c>
      <c r="D1023" s="71" t="s">
        <v>37</v>
      </c>
      <c r="E1023" s="70">
        <v>4.0423799999999996</v>
      </c>
      <c r="F1023" s="74">
        <v>0.13289999999999999</v>
      </c>
      <c r="G1023" s="70">
        <v>3.261E-2</v>
      </c>
      <c r="H1023" s="74">
        <v>1.1000000000000001E-3</v>
      </c>
    </row>
    <row r="1024" spans="1:8" ht="15.6">
      <c r="A1024" s="468" t="s">
        <v>1452</v>
      </c>
      <c r="B1024" s="67">
        <v>63</v>
      </c>
      <c r="C1024" s="69" t="s">
        <v>37</v>
      </c>
      <c r="D1024" s="71" t="s">
        <v>38</v>
      </c>
      <c r="E1024" s="70">
        <v>15.942589999999999</v>
      </c>
      <c r="F1024" s="74">
        <v>0.52410000000000001</v>
      </c>
      <c r="G1024" s="70">
        <v>1.0344599999999999</v>
      </c>
      <c r="H1024" s="74">
        <v>3.4000000000000002E-2</v>
      </c>
    </row>
    <row r="1025" spans="1:8" ht="15.6">
      <c r="A1025" s="468" t="s">
        <v>1453</v>
      </c>
      <c r="B1025" s="67">
        <v>64</v>
      </c>
      <c r="C1025" s="69" t="s">
        <v>37</v>
      </c>
      <c r="D1025" s="71" t="s">
        <v>26</v>
      </c>
      <c r="E1025" s="70">
        <v>22.73433</v>
      </c>
      <c r="F1025" s="74">
        <v>0.74739999999999995</v>
      </c>
      <c r="G1025" s="70">
        <v>1.6062099999999999</v>
      </c>
      <c r="H1025" s="74">
        <v>5.28E-2</v>
      </c>
    </row>
    <row r="1026" spans="1:8" ht="15.6">
      <c r="A1026" s="468" t="s">
        <v>1454</v>
      </c>
      <c r="B1026" s="67">
        <v>65</v>
      </c>
      <c r="C1026" s="69" t="s">
        <v>37</v>
      </c>
      <c r="D1026" s="71" t="s">
        <v>52</v>
      </c>
      <c r="E1026" s="70">
        <v>53.172899999999998</v>
      </c>
      <c r="F1026" s="74">
        <v>1.7482</v>
      </c>
      <c r="G1026" s="70">
        <v>4.1687000000000003</v>
      </c>
      <c r="H1026" s="74">
        <v>0.1371</v>
      </c>
    </row>
    <row r="1027" spans="1:8" ht="15.6">
      <c r="A1027" s="468" t="s">
        <v>1455</v>
      </c>
      <c r="B1027" s="67">
        <v>66</v>
      </c>
      <c r="C1027" s="69" t="s">
        <v>37</v>
      </c>
      <c r="D1027" s="71" t="s">
        <v>40</v>
      </c>
      <c r="E1027" s="70">
        <v>11.873150000000001</v>
      </c>
      <c r="F1027" s="74">
        <v>0.39040000000000002</v>
      </c>
      <c r="G1027" s="70">
        <v>0.69186999999999999</v>
      </c>
      <c r="H1027" s="74">
        <v>2.2800000000000001E-2</v>
      </c>
    </row>
    <row r="1028" spans="1:8" ht="15.6">
      <c r="A1028" s="468" t="s">
        <v>1456</v>
      </c>
      <c r="B1028" s="67">
        <v>67</v>
      </c>
      <c r="C1028" s="69" t="s">
        <v>37</v>
      </c>
      <c r="D1028" s="71" t="s">
        <v>34</v>
      </c>
      <c r="E1028" s="70">
        <v>59.697270000000003</v>
      </c>
      <c r="F1028" s="74">
        <v>1.9626999999999999</v>
      </c>
      <c r="G1028" s="70">
        <v>4.7179599999999997</v>
      </c>
      <c r="H1028" s="74">
        <v>0.15509999999999999</v>
      </c>
    </row>
    <row r="1029" spans="1:8" ht="15.6">
      <c r="A1029" s="468" t="s">
        <v>1457</v>
      </c>
      <c r="B1029" s="67">
        <v>68</v>
      </c>
      <c r="C1029" s="69" t="s">
        <v>37</v>
      </c>
      <c r="D1029" s="71" t="s">
        <v>54</v>
      </c>
      <c r="E1029" s="70">
        <v>11.29705</v>
      </c>
      <c r="F1029" s="74">
        <v>0.37140000000000001</v>
      </c>
      <c r="G1029" s="70">
        <v>0.64336000000000004</v>
      </c>
      <c r="H1029" s="74">
        <v>2.12E-2</v>
      </c>
    </row>
    <row r="1030" spans="1:8" ht="15.6">
      <c r="A1030" s="468" t="s">
        <v>1458</v>
      </c>
      <c r="B1030" s="67">
        <v>69</v>
      </c>
      <c r="C1030" s="69" t="s">
        <v>25</v>
      </c>
      <c r="D1030" s="71" t="s">
        <v>12</v>
      </c>
      <c r="E1030" s="70" t="s">
        <v>286</v>
      </c>
      <c r="F1030" s="74">
        <v>1.0113000000000001</v>
      </c>
      <c r="G1030" s="70" t="s">
        <v>286</v>
      </c>
      <c r="H1030" s="74">
        <v>0.1119</v>
      </c>
    </row>
    <row r="1031" spans="1:8" ht="15.6">
      <c r="A1031" s="468" t="s">
        <v>1459</v>
      </c>
      <c r="B1031" s="67">
        <v>70</v>
      </c>
      <c r="C1031" s="69" t="s">
        <v>25</v>
      </c>
      <c r="D1031" s="71" t="s">
        <v>51</v>
      </c>
      <c r="E1031" s="70" t="s">
        <v>286</v>
      </c>
      <c r="F1031" s="74">
        <v>0.77059999999999995</v>
      </c>
      <c r="G1031" s="70" t="s">
        <v>286</v>
      </c>
      <c r="H1031" s="74">
        <v>8.2900000000000001E-2</v>
      </c>
    </row>
    <row r="1032" spans="1:8" ht="15.6">
      <c r="A1032" s="468" t="s">
        <v>1460</v>
      </c>
      <c r="B1032" s="67">
        <v>71</v>
      </c>
      <c r="C1032" s="69" t="s">
        <v>25</v>
      </c>
      <c r="D1032" s="71" t="s">
        <v>13</v>
      </c>
      <c r="E1032" s="70" t="s">
        <v>286</v>
      </c>
      <c r="F1032" s="74">
        <v>0.67200000000000004</v>
      </c>
      <c r="G1032" s="70" t="s">
        <v>286</v>
      </c>
      <c r="H1032" s="74">
        <v>7.0999999999999994E-2</v>
      </c>
    </row>
    <row r="1033" spans="1:8" ht="15.6">
      <c r="A1033" s="468" t="s">
        <v>1461</v>
      </c>
      <c r="B1033" s="67">
        <v>72</v>
      </c>
      <c r="C1033" s="69" t="s">
        <v>25</v>
      </c>
      <c r="D1033" s="71" t="s">
        <v>9</v>
      </c>
      <c r="E1033" s="70" t="s">
        <v>286</v>
      </c>
      <c r="F1033" s="74">
        <v>0.52380000000000004</v>
      </c>
      <c r="G1033" s="70" t="s">
        <v>286</v>
      </c>
      <c r="H1033" s="74">
        <v>5.3100000000000001E-2</v>
      </c>
    </row>
    <row r="1034" spans="1:8" ht="15.6">
      <c r="A1034" s="468" t="s">
        <v>1462</v>
      </c>
      <c r="B1034" s="67">
        <v>73</v>
      </c>
      <c r="C1034" s="69" t="s">
        <v>25</v>
      </c>
      <c r="D1034" s="71" t="s">
        <v>14</v>
      </c>
      <c r="E1034" s="70" t="s">
        <v>286</v>
      </c>
      <c r="F1034" s="74">
        <v>0.45529999999999998</v>
      </c>
      <c r="G1034" s="70" t="s">
        <v>286</v>
      </c>
      <c r="H1034" s="74">
        <v>4.48E-2</v>
      </c>
    </row>
    <row r="1035" spans="1:8" ht="15.6">
      <c r="A1035" s="468" t="s">
        <v>1463</v>
      </c>
      <c r="B1035" s="67">
        <v>74</v>
      </c>
      <c r="C1035" s="69" t="s">
        <v>25</v>
      </c>
      <c r="D1035" s="71" t="s">
        <v>33</v>
      </c>
      <c r="E1035" s="70" t="s">
        <v>286</v>
      </c>
      <c r="F1035" s="74">
        <v>0.20219999999999999</v>
      </c>
      <c r="G1035" s="70" t="s">
        <v>286</v>
      </c>
      <c r="H1035" s="74">
        <v>1.43E-2</v>
      </c>
    </row>
    <row r="1036" spans="1:8" ht="15.6">
      <c r="A1036" s="468" t="s">
        <v>1464</v>
      </c>
      <c r="B1036" s="67">
        <v>75</v>
      </c>
      <c r="C1036" s="69" t="s">
        <v>25</v>
      </c>
      <c r="D1036" s="71" t="s">
        <v>25</v>
      </c>
      <c r="E1036" s="70" t="s">
        <v>286</v>
      </c>
      <c r="F1036" s="74">
        <v>9.2700000000000005E-2</v>
      </c>
      <c r="G1036" s="70" t="s">
        <v>286</v>
      </c>
      <c r="H1036" s="74">
        <v>1.1000000000000001E-3</v>
      </c>
    </row>
    <row r="1037" spans="1:8" ht="15.6">
      <c r="A1037" s="468" t="s">
        <v>1465</v>
      </c>
      <c r="B1037" s="67">
        <v>76</v>
      </c>
      <c r="C1037" s="69" t="s">
        <v>25</v>
      </c>
      <c r="D1037" s="71" t="s">
        <v>31</v>
      </c>
      <c r="E1037" s="70" t="s">
        <v>286</v>
      </c>
      <c r="F1037" s="74">
        <v>0.5101</v>
      </c>
      <c r="G1037" s="70" t="s">
        <v>286</v>
      </c>
      <c r="H1037" s="74">
        <v>5.1400000000000001E-2</v>
      </c>
    </row>
    <row r="1038" spans="1:8" ht="15.6">
      <c r="A1038" s="468" t="s">
        <v>1466</v>
      </c>
      <c r="B1038" s="67">
        <v>77</v>
      </c>
      <c r="C1038" s="69" t="s">
        <v>25</v>
      </c>
      <c r="D1038" s="71" t="s">
        <v>45</v>
      </c>
      <c r="E1038" s="70" t="s">
        <v>286</v>
      </c>
      <c r="F1038" s="74">
        <v>0.2762</v>
      </c>
      <c r="G1038" s="70" t="s">
        <v>286</v>
      </c>
      <c r="H1038" s="74">
        <v>2.3199999999999998E-2</v>
      </c>
    </row>
    <row r="1039" spans="1:8" ht="15.6">
      <c r="A1039" s="468" t="s">
        <v>1467</v>
      </c>
      <c r="B1039" s="67">
        <v>1</v>
      </c>
      <c r="C1039" s="69" t="s">
        <v>25</v>
      </c>
      <c r="D1039" s="71" t="s">
        <v>27</v>
      </c>
      <c r="E1039" s="70" t="s">
        <v>286</v>
      </c>
      <c r="F1039" s="74">
        <v>0.42070000000000002</v>
      </c>
      <c r="G1039" s="70" t="s">
        <v>286</v>
      </c>
      <c r="H1039" s="74">
        <v>4.0599999999999997E-2</v>
      </c>
    </row>
    <row r="1040" spans="1:8" ht="15.6">
      <c r="A1040" s="468" t="s">
        <v>1468</v>
      </c>
      <c r="B1040" s="67">
        <v>2</v>
      </c>
      <c r="C1040" s="69" t="s">
        <v>25</v>
      </c>
      <c r="D1040" s="71" t="s">
        <v>21</v>
      </c>
      <c r="E1040" s="70" t="s">
        <v>286</v>
      </c>
      <c r="F1040" s="74">
        <v>0.53949999999999998</v>
      </c>
      <c r="G1040" s="70" t="s">
        <v>286</v>
      </c>
      <c r="H1040" s="74">
        <v>5.5E-2</v>
      </c>
    </row>
    <row r="1041" spans="1:8" ht="15.6">
      <c r="A1041" s="468" t="s">
        <v>1469</v>
      </c>
      <c r="B1041" s="67">
        <v>3</v>
      </c>
      <c r="C1041" s="69" t="s">
        <v>25</v>
      </c>
      <c r="D1041" s="71" t="s">
        <v>32</v>
      </c>
      <c r="E1041" s="70" t="s">
        <v>286</v>
      </c>
      <c r="F1041" s="74">
        <v>1.1694</v>
      </c>
      <c r="G1041" s="70" t="s">
        <v>286</v>
      </c>
      <c r="H1041" s="74">
        <v>0.13100000000000001</v>
      </c>
    </row>
    <row r="1042" spans="1:8" ht="15.6">
      <c r="A1042" s="468" t="s">
        <v>1470</v>
      </c>
      <c r="B1042" s="67">
        <v>4</v>
      </c>
      <c r="C1042" s="69" t="s">
        <v>25</v>
      </c>
      <c r="D1042" s="71" t="s">
        <v>30</v>
      </c>
      <c r="E1042" s="70" t="s">
        <v>286</v>
      </c>
      <c r="F1042" s="74">
        <v>0.75549999999999995</v>
      </c>
      <c r="G1042" s="70" t="s">
        <v>286</v>
      </c>
      <c r="H1042" s="74">
        <v>7.4800000000000005E-2</v>
      </c>
    </row>
    <row r="1043" spans="1:8" ht="15.6">
      <c r="A1043" s="468" t="s">
        <v>1471</v>
      </c>
      <c r="B1043" s="67">
        <v>5</v>
      </c>
      <c r="C1043" s="69" t="s">
        <v>25</v>
      </c>
      <c r="D1043" s="71" t="s">
        <v>28</v>
      </c>
      <c r="E1043" s="70" t="s">
        <v>286</v>
      </c>
      <c r="F1043" s="74">
        <v>0.90149999999999997</v>
      </c>
      <c r="G1043" s="70" t="s">
        <v>286</v>
      </c>
      <c r="H1043" s="74">
        <v>9.1200000000000003E-2</v>
      </c>
    </row>
    <row r="1044" spans="1:8" ht="15.6">
      <c r="A1044" s="468" t="s">
        <v>1472</v>
      </c>
      <c r="B1044" s="67">
        <v>6</v>
      </c>
      <c r="C1044" s="69" t="s">
        <v>25</v>
      </c>
      <c r="D1044" s="71" t="s">
        <v>79</v>
      </c>
      <c r="E1044" s="70" t="s">
        <v>286</v>
      </c>
      <c r="F1044" s="74">
        <v>0.872</v>
      </c>
      <c r="G1044" s="70" t="s">
        <v>286</v>
      </c>
      <c r="H1044" s="74">
        <v>8.7900000000000006E-2</v>
      </c>
    </row>
    <row r="1045" spans="1:8" ht="15.6">
      <c r="A1045" s="468" t="s">
        <v>1473</v>
      </c>
      <c r="B1045" s="67">
        <v>7</v>
      </c>
      <c r="C1045" s="69" t="s">
        <v>25</v>
      </c>
      <c r="D1045" s="71" t="s">
        <v>29</v>
      </c>
      <c r="E1045" s="70" t="s">
        <v>286</v>
      </c>
      <c r="F1045" s="74">
        <v>0.93830000000000002</v>
      </c>
      <c r="G1045" s="70" t="s">
        <v>286</v>
      </c>
      <c r="H1045" s="74">
        <v>9.5299999999999996E-2</v>
      </c>
    </row>
    <row r="1046" spans="1:8" ht="15.6">
      <c r="A1046" s="468" t="s">
        <v>1474</v>
      </c>
      <c r="B1046" s="67">
        <v>8</v>
      </c>
      <c r="C1046" s="69" t="s">
        <v>25</v>
      </c>
      <c r="D1046" s="71" t="s">
        <v>43</v>
      </c>
      <c r="E1046" s="70" t="s">
        <v>286</v>
      </c>
      <c r="F1046" s="74">
        <v>0.86519999999999997</v>
      </c>
      <c r="G1046" s="70" t="s">
        <v>286</v>
      </c>
      <c r="H1046" s="74">
        <v>8.7099999999999997E-2</v>
      </c>
    </row>
    <row r="1047" spans="1:8" ht="15.6">
      <c r="A1047" s="468" t="s">
        <v>1475</v>
      </c>
      <c r="B1047" s="67">
        <v>9</v>
      </c>
      <c r="C1047" s="69" t="s">
        <v>25</v>
      </c>
      <c r="D1047" s="71" t="s">
        <v>18</v>
      </c>
      <c r="E1047" s="70" t="s">
        <v>286</v>
      </c>
      <c r="F1047" s="74">
        <v>0.86099999999999999</v>
      </c>
      <c r="G1047" s="70" t="s">
        <v>286</v>
      </c>
      <c r="H1047" s="74">
        <v>8.6599999999999996E-2</v>
      </c>
    </row>
    <row r="1048" spans="1:8" ht="15.6">
      <c r="A1048" s="468" t="s">
        <v>1476</v>
      </c>
      <c r="B1048" s="67">
        <v>10</v>
      </c>
      <c r="C1048" s="69" t="s">
        <v>25</v>
      </c>
      <c r="D1048" s="71" t="s">
        <v>76</v>
      </c>
      <c r="E1048" s="70" t="s">
        <v>286</v>
      </c>
      <c r="F1048" s="74">
        <v>0.86519999999999997</v>
      </c>
      <c r="G1048" s="70" t="s">
        <v>286</v>
      </c>
      <c r="H1048" s="74">
        <v>8.7099999999999997E-2</v>
      </c>
    </row>
    <row r="1049" spans="1:8" ht="15.6">
      <c r="A1049" s="468" t="s">
        <v>1477</v>
      </c>
      <c r="B1049" s="67">
        <v>11</v>
      </c>
      <c r="C1049" s="69" t="s">
        <v>25</v>
      </c>
      <c r="D1049" s="71" t="s">
        <v>19</v>
      </c>
      <c r="E1049" s="70" t="s">
        <v>286</v>
      </c>
      <c r="F1049" s="74">
        <v>0.89580000000000004</v>
      </c>
      <c r="G1049" s="70" t="s">
        <v>286</v>
      </c>
      <c r="H1049" s="74">
        <v>9.0499999999999997E-2</v>
      </c>
    </row>
    <row r="1050" spans="1:8" ht="15.6">
      <c r="A1050" s="468" t="s">
        <v>1478</v>
      </c>
      <c r="B1050" s="67">
        <v>12</v>
      </c>
      <c r="C1050" s="69" t="s">
        <v>25</v>
      </c>
      <c r="D1050" s="71" t="s">
        <v>23</v>
      </c>
      <c r="E1050" s="70" t="s">
        <v>286</v>
      </c>
      <c r="F1050" s="74">
        <v>0.97540000000000004</v>
      </c>
      <c r="G1050" s="70" t="s">
        <v>286</v>
      </c>
      <c r="H1050" s="74">
        <v>9.9500000000000005E-2</v>
      </c>
    </row>
    <row r="1051" spans="1:8" ht="15.6">
      <c r="A1051" s="468" t="s">
        <v>1479</v>
      </c>
      <c r="B1051" s="67">
        <v>13</v>
      </c>
      <c r="C1051" s="69" t="s">
        <v>25</v>
      </c>
      <c r="D1051" s="71" t="s">
        <v>20</v>
      </c>
      <c r="E1051" s="70" t="s">
        <v>286</v>
      </c>
      <c r="F1051" s="74">
        <v>1.0281</v>
      </c>
      <c r="G1051" s="70" t="s">
        <v>286</v>
      </c>
      <c r="H1051" s="74">
        <v>0.10539999999999999</v>
      </c>
    </row>
    <row r="1052" spans="1:8" ht="15.6">
      <c r="A1052" s="468" t="s">
        <v>1480</v>
      </c>
      <c r="B1052" s="67">
        <v>14</v>
      </c>
      <c r="C1052" s="69" t="s">
        <v>25</v>
      </c>
      <c r="D1052" s="71" t="s">
        <v>53</v>
      </c>
      <c r="E1052" s="70" t="s">
        <v>286</v>
      </c>
      <c r="F1052" s="74">
        <v>1.0003</v>
      </c>
      <c r="G1052" s="70" t="s">
        <v>286</v>
      </c>
      <c r="H1052" s="74">
        <v>0.1023</v>
      </c>
    </row>
    <row r="1053" spans="1:8" ht="15.6">
      <c r="A1053" s="468" t="s">
        <v>1481</v>
      </c>
      <c r="B1053" s="67">
        <v>15</v>
      </c>
      <c r="C1053" s="69" t="s">
        <v>25</v>
      </c>
      <c r="D1053" s="71" t="s">
        <v>41</v>
      </c>
      <c r="E1053" s="70" t="s">
        <v>286</v>
      </c>
      <c r="F1053" s="74">
        <v>1.0024</v>
      </c>
      <c r="G1053" s="70" t="s">
        <v>286</v>
      </c>
      <c r="H1053" s="74">
        <v>0.10249999999999999</v>
      </c>
    </row>
    <row r="1054" spans="1:8" ht="15.6">
      <c r="A1054" s="468" t="s">
        <v>1482</v>
      </c>
      <c r="B1054" s="67">
        <v>16</v>
      </c>
      <c r="C1054" s="69" t="s">
        <v>25</v>
      </c>
      <c r="D1054" s="71" t="s">
        <v>36</v>
      </c>
      <c r="E1054" s="70" t="s">
        <v>286</v>
      </c>
      <c r="F1054" s="74">
        <v>0.9456</v>
      </c>
      <c r="G1054" s="70" t="s">
        <v>286</v>
      </c>
      <c r="H1054" s="74">
        <v>9.6100000000000005E-2</v>
      </c>
    </row>
    <row r="1055" spans="1:8" ht="15.6">
      <c r="A1055" s="468" t="s">
        <v>1483</v>
      </c>
      <c r="B1055" s="67">
        <v>17</v>
      </c>
      <c r="C1055" s="69" t="s">
        <v>25</v>
      </c>
      <c r="D1055" s="71" t="s">
        <v>15</v>
      </c>
      <c r="E1055" s="70" t="s">
        <v>286</v>
      </c>
      <c r="F1055" s="74">
        <v>0.92749999999999999</v>
      </c>
      <c r="G1055" s="70" t="s">
        <v>286</v>
      </c>
      <c r="H1055" s="74">
        <v>9.4100000000000003E-2</v>
      </c>
    </row>
    <row r="1056" spans="1:8" ht="15.6">
      <c r="A1056" s="468" t="s">
        <v>1484</v>
      </c>
      <c r="B1056" s="67">
        <v>18</v>
      </c>
      <c r="C1056" s="69" t="s">
        <v>25</v>
      </c>
      <c r="D1056" s="71" t="s">
        <v>16</v>
      </c>
      <c r="E1056" s="70" t="s">
        <v>286</v>
      </c>
      <c r="F1056" s="74">
        <v>1.1395999999999999</v>
      </c>
      <c r="G1056" s="70" t="s">
        <v>286</v>
      </c>
      <c r="H1056" s="74">
        <v>0.1179</v>
      </c>
    </row>
    <row r="1057" spans="1:8" ht="15.6">
      <c r="A1057" s="468" t="s">
        <v>1485</v>
      </c>
      <c r="B1057" s="67">
        <v>19</v>
      </c>
      <c r="C1057" s="69" t="s">
        <v>25</v>
      </c>
      <c r="D1057" s="71" t="s">
        <v>17</v>
      </c>
      <c r="E1057" s="70" t="s">
        <v>286</v>
      </c>
      <c r="F1057" s="74">
        <v>0.53400000000000003</v>
      </c>
      <c r="G1057" s="70" t="s">
        <v>286</v>
      </c>
      <c r="H1057" s="74">
        <v>5.4300000000000001E-2</v>
      </c>
    </row>
    <row r="1058" spans="1:8" ht="15.6">
      <c r="A1058" s="468" t="s">
        <v>1486</v>
      </c>
      <c r="B1058" s="67">
        <v>20</v>
      </c>
      <c r="C1058" s="69" t="s">
        <v>25</v>
      </c>
      <c r="D1058" s="71" t="s">
        <v>10</v>
      </c>
      <c r="E1058" s="70" t="s">
        <v>286</v>
      </c>
      <c r="F1058" s="74">
        <v>0.53400000000000003</v>
      </c>
      <c r="G1058" s="70" t="s">
        <v>286</v>
      </c>
      <c r="H1058" s="74">
        <v>5.4300000000000001E-2</v>
      </c>
    </row>
    <row r="1059" spans="1:8" ht="15.6">
      <c r="A1059" s="468" t="s">
        <v>1487</v>
      </c>
      <c r="B1059" s="67">
        <v>21</v>
      </c>
      <c r="C1059" s="69" t="s">
        <v>25</v>
      </c>
      <c r="D1059" s="71" t="s">
        <v>22</v>
      </c>
      <c r="E1059" s="70" t="s">
        <v>286</v>
      </c>
      <c r="F1059" s="74">
        <v>0.90769999999999995</v>
      </c>
      <c r="G1059" s="70" t="s">
        <v>286</v>
      </c>
      <c r="H1059" s="74">
        <v>9.1899999999999996E-2</v>
      </c>
    </row>
    <row r="1060" spans="1:8" ht="15.6">
      <c r="A1060" s="468" t="s">
        <v>1488</v>
      </c>
      <c r="B1060" s="67">
        <v>22</v>
      </c>
      <c r="C1060" s="69" t="s">
        <v>25</v>
      </c>
      <c r="D1060" s="71" t="s">
        <v>35</v>
      </c>
      <c r="E1060" s="70" t="s">
        <v>286</v>
      </c>
      <c r="F1060" s="74">
        <v>0.88790000000000002</v>
      </c>
      <c r="G1060" s="70" t="s">
        <v>286</v>
      </c>
      <c r="H1060" s="74">
        <v>8.9599999999999999E-2</v>
      </c>
    </row>
    <row r="1061" spans="1:8" ht="15.6">
      <c r="A1061" s="468" t="s">
        <v>1489</v>
      </c>
      <c r="B1061" s="67">
        <v>23</v>
      </c>
      <c r="C1061" s="69" t="s">
        <v>25</v>
      </c>
      <c r="D1061" s="71" t="s">
        <v>24</v>
      </c>
      <c r="E1061" s="70" t="s">
        <v>286</v>
      </c>
      <c r="F1061" s="74">
        <v>1.0189999999999999</v>
      </c>
      <c r="G1061" s="70" t="s">
        <v>286</v>
      </c>
      <c r="H1061" s="74">
        <v>0.10440000000000001</v>
      </c>
    </row>
    <row r="1062" spans="1:8" ht="15.6">
      <c r="A1062" s="468" t="s">
        <v>1490</v>
      </c>
      <c r="B1062" s="67">
        <v>24</v>
      </c>
      <c r="C1062" s="69" t="s">
        <v>25</v>
      </c>
      <c r="D1062" s="71" t="s">
        <v>37</v>
      </c>
      <c r="E1062" s="70" t="s">
        <v>286</v>
      </c>
      <c r="F1062" s="74">
        <v>0.94420000000000004</v>
      </c>
      <c r="G1062" s="70" t="s">
        <v>286</v>
      </c>
      <c r="H1062" s="74">
        <v>9.6000000000000002E-2</v>
      </c>
    </row>
    <row r="1063" spans="1:8" ht="15.6">
      <c r="A1063" s="468" t="s">
        <v>1491</v>
      </c>
      <c r="B1063" s="67">
        <v>25</v>
      </c>
      <c r="C1063" s="69" t="s">
        <v>25</v>
      </c>
      <c r="D1063" s="71" t="s">
        <v>38</v>
      </c>
      <c r="E1063" s="70" t="s">
        <v>286</v>
      </c>
      <c r="F1063" s="74">
        <v>0.60629999999999995</v>
      </c>
      <c r="G1063" s="70" t="s">
        <v>286</v>
      </c>
      <c r="H1063" s="74">
        <v>6.3E-2</v>
      </c>
    </row>
    <row r="1064" spans="1:8" ht="15.6">
      <c r="A1064" s="468" t="s">
        <v>1492</v>
      </c>
      <c r="B1064" s="67">
        <v>26</v>
      </c>
      <c r="C1064" s="69" t="s">
        <v>25</v>
      </c>
      <c r="D1064" s="71" t="s">
        <v>26</v>
      </c>
      <c r="E1064" s="70" t="s">
        <v>286</v>
      </c>
      <c r="F1064" s="74">
        <v>1.0294000000000001</v>
      </c>
      <c r="G1064" s="70" t="s">
        <v>286</v>
      </c>
      <c r="H1064" s="74">
        <v>0.1055</v>
      </c>
    </row>
    <row r="1065" spans="1:8" ht="15.6">
      <c r="A1065" s="468" t="s">
        <v>1493</v>
      </c>
      <c r="B1065" s="67">
        <v>27</v>
      </c>
      <c r="C1065" s="69" t="s">
        <v>25</v>
      </c>
      <c r="D1065" s="71" t="s">
        <v>52</v>
      </c>
      <c r="E1065" s="70" t="s">
        <v>286</v>
      </c>
      <c r="F1065" s="74">
        <v>0.45529999999999998</v>
      </c>
      <c r="G1065" s="70" t="s">
        <v>286</v>
      </c>
      <c r="H1065" s="74">
        <v>4.48E-2</v>
      </c>
    </row>
    <row r="1066" spans="1:8" ht="15.6">
      <c r="A1066" s="468" t="s">
        <v>1494</v>
      </c>
      <c r="B1066" s="67">
        <v>28</v>
      </c>
      <c r="C1066" s="69" t="s">
        <v>25</v>
      </c>
      <c r="D1066" s="71" t="s">
        <v>40</v>
      </c>
      <c r="E1066" s="70" t="s">
        <v>286</v>
      </c>
      <c r="F1066" s="74">
        <v>0.94479999999999997</v>
      </c>
      <c r="G1066" s="70" t="s">
        <v>286</v>
      </c>
      <c r="H1066" s="74">
        <v>0.10390000000000001</v>
      </c>
    </row>
    <row r="1067" spans="1:8" ht="15.6">
      <c r="A1067" s="468" t="s">
        <v>1495</v>
      </c>
      <c r="B1067" s="67">
        <v>29</v>
      </c>
      <c r="C1067" s="69" t="s">
        <v>25</v>
      </c>
      <c r="D1067" s="71" t="s">
        <v>34</v>
      </c>
      <c r="E1067" s="70" t="s">
        <v>286</v>
      </c>
      <c r="F1067" s="74">
        <v>0.67200000000000004</v>
      </c>
      <c r="G1067" s="70" t="s">
        <v>286</v>
      </c>
      <c r="H1067" s="74">
        <v>7.0999999999999994E-2</v>
      </c>
    </row>
    <row r="1068" spans="1:8" ht="15.6">
      <c r="A1068" s="468" t="s">
        <v>1496</v>
      </c>
      <c r="B1068" s="67">
        <v>30</v>
      </c>
      <c r="C1068" s="69" t="s">
        <v>25</v>
      </c>
      <c r="D1068" s="71" t="s">
        <v>54</v>
      </c>
      <c r="E1068" s="70" t="s">
        <v>286</v>
      </c>
      <c r="F1068" s="74">
        <v>1.0003</v>
      </c>
      <c r="G1068" s="70" t="s">
        <v>286</v>
      </c>
      <c r="H1068" s="74">
        <v>0.1023</v>
      </c>
    </row>
    <row r="1069" spans="1:8" ht="15.6">
      <c r="A1069" s="468" t="s">
        <v>1497</v>
      </c>
      <c r="B1069" s="67">
        <v>31</v>
      </c>
      <c r="C1069" s="69" t="s">
        <v>38</v>
      </c>
      <c r="D1069" s="71" t="s">
        <v>12</v>
      </c>
      <c r="E1069" s="70">
        <v>66.462239999999994</v>
      </c>
      <c r="F1069" s="74">
        <v>2.1850999999999998</v>
      </c>
      <c r="G1069" s="70">
        <v>5.2874699999999999</v>
      </c>
      <c r="H1069" s="74">
        <v>0.17380000000000001</v>
      </c>
    </row>
    <row r="1070" spans="1:8" ht="15.6">
      <c r="A1070" s="468" t="s">
        <v>1498</v>
      </c>
      <c r="B1070" s="67">
        <v>32</v>
      </c>
      <c r="C1070" s="69" t="s">
        <v>38</v>
      </c>
      <c r="D1070" s="71" t="s">
        <v>51</v>
      </c>
      <c r="E1070" s="70">
        <v>55.972450000000002</v>
      </c>
      <c r="F1070" s="74">
        <v>1.8402000000000001</v>
      </c>
      <c r="G1070" s="70">
        <v>4.4043900000000002</v>
      </c>
      <c r="H1070" s="74">
        <v>0.14480000000000001</v>
      </c>
    </row>
    <row r="1071" spans="1:8" ht="15.6">
      <c r="A1071" s="468" t="s">
        <v>1499</v>
      </c>
      <c r="B1071" s="67">
        <v>33</v>
      </c>
      <c r="C1071" s="69" t="s">
        <v>38</v>
      </c>
      <c r="D1071" s="71" t="s">
        <v>13</v>
      </c>
      <c r="E1071" s="70">
        <v>51.67548</v>
      </c>
      <c r="F1071" s="74">
        <v>1.6989000000000001</v>
      </c>
      <c r="G1071" s="70">
        <v>4.0426299999999999</v>
      </c>
      <c r="H1071" s="74">
        <v>0.13289999999999999</v>
      </c>
    </row>
    <row r="1072" spans="1:8" ht="15.6">
      <c r="A1072" s="468" t="s">
        <v>1500</v>
      </c>
      <c r="B1072" s="67">
        <v>34</v>
      </c>
      <c r="C1072" s="69" t="s">
        <v>38</v>
      </c>
      <c r="D1072" s="71" t="s">
        <v>9</v>
      </c>
      <c r="E1072" s="70">
        <v>45.213769999999997</v>
      </c>
      <c r="F1072" s="74">
        <v>1.4864999999999999</v>
      </c>
      <c r="G1072" s="70">
        <v>3.49864</v>
      </c>
      <c r="H1072" s="74">
        <v>0.115</v>
      </c>
    </row>
    <row r="1073" spans="1:8" ht="15.6">
      <c r="A1073" s="468" t="s">
        <v>1501</v>
      </c>
      <c r="B1073" s="67">
        <v>35</v>
      </c>
      <c r="C1073" s="69" t="s">
        <v>38</v>
      </c>
      <c r="D1073" s="71" t="s">
        <v>14</v>
      </c>
      <c r="E1073" s="70">
        <v>42.230200000000004</v>
      </c>
      <c r="F1073" s="74">
        <v>1.3884000000000001</v>
      </c>
      <c r="G1073" s="70">
        <v>3.2474599999999998</v>
      </c>
      <c r="H1073" s="74">
        <v>0.10680000000000001</v>
      </c>
    </row>
    <row r="1074" spans="1:8" ht="15.6">
      <c r="A1074" s="468" t="s">
        <v>1502</v>
      </c>
      <c r="B1074" s="67">
        <v>36</v>
      </c>
      <c r="C1074" s="69" t="s">
        <v>38</v>
      </c>
      <c r="D1074" s="71" t="s">
        <v>33</v>
      </c>
      <c r="E1074" s="70">
        <v>31.026219999999999</v>
      </c>
      <c r="F1074" s="74">
        <v>1.02</v>
      </c>
      <c r="G1074" s="70">
        <v>2.3042799999999999</v>
      </c>
      <c r="H1074" s="74">
        <v>7.5800000000000006E-2</v>
      </c>
    </row>
    <row r="1075" spans="1:8" ht="15.6">
      <c r="A1075" s="468" t="s">
        <v>1503</v>
      </c>
      <c r="B1075" s="67">
        <v>37</v>
      </c>
      <c r="C1075" s="69" t="s">
        <v>38</v>
      </c>
      <c r="D1075" s="71" t="s">
        <v>25</v>
      </c>
      <c r="E1075" s="70">
        <v>26.42661</v>
      </c>
      <c r="F1075" s="74">
        <v>0.86880000000000002</v>
      </c>
      <c r="G1075" s="70">
        <v>1.9170700000000001</v>
      </c>
      <c r="H1075" s="74">
        <v>6.3E-2</v>
      </c>
    </row>
    <row r="1076" spans="1:8" ht="15.6">
      <c r="A1076" s="468" t="s">
        <v>1504</v>
      </c>
      <c r="B1076" s="67">
        <v>38</v>
      </c>
      <c r="C1076" s="69" t="s">
        <v>38</v>
      </c>
      <c r="D1076" s="71" t="s">
        <v>31</v>
      </c>
      <c r="E1076" s="70">
        <v>8.2529500000000002</v>
      </c>
      <c r="F1076" s="74">
        <v>0.27129999999999999</v>
      </c>
      <c r="G1076" s="70">
        <v>0.38707000000000003</v>
      </c>
      <c r="H1076" s="74">
        <v>1.2699999999999999E-2</v>
      </c>
    </row>
    <row r="1077" spans="1:8" ht="15.6">
      <c r="A1077" s="468" t="s">
        <v>1505</v>
      </c>
      <c r="B1077" s="67">
        <v>39</v>
      </c>
      <c r="C1077" s="69" t="s">
        <v>38</v>
      </c>
      <c r="D1077" s="71" t="s">
        <v>45</v>
      </c>
      <c r="E1077" s="70">
        <v>18.429459999999999</v>
      </c>
      <c r="F1077" s="74">
        <v>0.60589999999999999</v>
      </c>
      <c r="G1077" s="70">
        <v>1.24383</v>
      </c>
      <c r="H1077" s="74">
        <v>4.0899999999999999E-2</v>
      </c>
    </row>
    <row r="1078" spans="1:8" ht="15.6">
      <c r="A1078" s="468" t="s">
        <v>1506</v>
      </c>
      <c r="B1078" s="67">
        <v>40</v>
      </c>
      <c r="C1078" s="69" t="s">
        <v>38</v>
      </c>
      <c r="D1078" s="71" t="s">
        <v>27</v>
      </c>
      <c r="E1078" s="70">
        <v>12.13321</v>
      </c>
      <c r="F1078" s="74">
        <v>0.39889999999999998</v>
      </c>
      <c r="G1078" s="70">
        <v>0.71379000000000004</v>
      </c>
      <c r="H1078" s="74">
        <v>2.35E-2</v>
      </c>
    </row>
    <row r="1079" spans="1:8" ht="15.6">
      <c r="A1079" s="468" t="s">
        <v>1507</v>
      </c>
      <c r="B1079" s="67">
        <v>41</v>
      </c>
      <c r="C1079" s="69" t="s">
        <v>38</v>
      </c>
      <c r="D1079" s="71" t="s">
        <v>21</v>
      </c>
      <c r="E1079" s="70">
        <v>7.4551299999999996</v>
      </c>
      <c r="F1079" s="74">
        <v>0.24510000000000001</v>
      </c>
      <c r="G1079" s="70">
        <v>0.31991999999999998</v>
      </c>
      <c r="H1079" s="74">
        <v>1.0500000000000001E-2</v>
      </c>
    </row>
    <row r="1080" spans="1:8" ht="15.6">
      <c r="A1080" s="468" t="s">
        <v>1508</v>
      </c>
      <c r="B1080" s="67">
        <v>42</v>
      </c>
      <c r="C1080" s="69" t="s">
        <v>38</v>
      </c>
      <c r="D1080" s="71" t="s">
        <v>32</v>
      </c>
      <c r="E1080" s="70">
        <v>32.932130000000001</v>
      </c>
      <c r="F1080" s="74">
        <v>1.0827</v>
      </c>
      <c r="G1080" s="70">
        <v>2.4647600000000001</v>
      </c>
      <c r="H1080" s="74">
        <v>8.1000000000000003E-2</v>
      </c>
    </row>
    <row r="1081" spans="1:8" ht="15.6">
      <c r="A1081" s="468" t="s">
        <v>1509</v>
      </c>
      <c r="B1081" s="67">
        <v>43</v>
      </c>
      <c r="C1081" s="69" t="s">
        <v>38</v>
      </c>
      <c r="D1081" s="71" t="s">
        <v>30</v>
      </c>
      <c r="E1081" s="70">
        <v>8.2839799999999997</v>
      </c>
      <c r="F1081" s="74">
        <v>0.27239999999999998</v>
      </c>
      <c r="G1081" s="70">
        <v>0.38969999999999999</v>
      </c>
      <c r="H1081" s="74">
        <v>1.2800000000000001E-2</v>
      </c>
    </row>
    <row r="1082" spans="1:8" ht="15.6">
      <c r="A1082" s="468" t="s">
        <v>1510</v>
      </c>
      <c r="B1082" s="67">
        <v>44</v>
      </c>
      <c r="C1082" s="69" t="s">
        <v>38</v>
      </c>
      <c r="D1082" s="71" t="s">
        <v>28</v>
      </c>
      <c r="E1082" s="70">
        <v>14.209149999999999</v>
      </c>
      <c r="F1082" s="74">
        <v>0.4672</v>
      </c>
      <c r="G1082" s="70">
        <v>0.88853000000000004</v>
      </c>
      <c r="H1082" s="74">
        <v>2.92E-2</v>
      </c>
    </row>
    <row r="1083" spans="1:8" ht="15.6">
      <c r="A1083" s="468" t="s">
        <v>1511</v>
      </c>
      <c r="B1083" s="67">
        <v>45</v>
      </c>
      <c r="C1083" s="69" t="s">
        <v>38</v>
      </c>
      <c r="D1083" s="71" t="s">
        <v>79</v>
      </c>
      <c r="E1083" s="70">
        <v>13.01225</v>
      </c>
      <c r="F1083" s="74">
        <v>0.42780000000000001</v>
      </c>
      <c r="G1083" s="70">
        <v>0.78778000000000004</v>
      </c>
      <c r="H1083" s="74">
        <v>2.5899999999999999E-2</v>
      </c>
    </row>
    <row r="1084" spans="1:8" ht="15.6">
      <c r="A1084" s="468" t="s">
        <v>1512</v>
      </c>
      <c r="B1084" s="67">
        <v>46</v>
      </c>
      <c r="C1084" s="69" t="s">
        <v>38</v>
      </c>
      <c r="D1084" s="71" t="s">
        <v>29</v>
      </c>
      <c r="E1084" s="70">
        <v>15.704129999999999</v>
      </c>
      <c r="F1084" s="74">
        <v>0.51629999999999998</v>
      </c>
      <c r="G1084" s="70">
        <v>1.01437</v>
      </c>
      <c r="H1084" s="74">
        <v>3.3399999999999999E-2</v>
      </c>
    </row>
    <row r="1085" spans="1:8" ht="15.6">
      <c r="A1085" s="468" t="s">
        <v>1513</v>
      </c>
      <c r="B1085" s="67">
        <v>47</v>
      </c>
      <c r="C1085" s="69" t="s">
        <v>38</v>
      </c>
      <c r="D1085" s="71" t="s">
        <v>43</v>
      </c>
      <c r="E1085" s="70">
        <v>12.73394</v>
      </c>
      <c r="F1085" s="74">
        <v>0.41870000000000002</v>
      </c>
      <c r="G1085" s="70">
        <v>0.76432999999999995</v>
      </c>
      <c r="H1085" s="74">
        <v>2.5100000000000001E-2</v>
      </c>
    </row>
    <row r="1086" spans="1:8" ht="15.6">
      <c r="A1086" s="468" t="s">
        <v>1514</v>
      </c>
      <c r="B1086" s="67">
        <v>48</v>
      </c>
      <c r="C1086" s="69" t="s">
        <v>38</v>
      </c>
      <c r="D1086" s="71" t="s">
        <v>18</v>
      </c>
      <c r="E1086" s="70">
        <v>12.5703</v>
      </c>
      <c r="F1086" s="74">
        <v>0.4133</v>
      </c>
      <c r="G1086" s="70">
        <v>0.75056999999999996</v>
      </c>
      <c r="H1086" s="74">
        <v>2.47E-2</v>
      </c>
    </row>
    <row r="1087" spans="1:8" ht="15.6">
      <c r="A1087" s="468" t="s">
        <v>1515</v>
      </c>
      <c r="B1087" s="67">
        <v>49</v>
      </c>
      <c r="C1087" s="69" t="s">
        <v>38</v>
      </c>
      <c r="D1087" s="71" t="s">
        <v>76</v>
      </c>
      <c r="E1087" s="70">
        <v>12.73394</v>
      </c>
      <c r="F1087" s="74">
        <v>0.41870000000000002</v>
      </c>
      <c r="G1087" s="70">
        <v>0.76432999999999995</v>
      </c>
      <c r="H1087" s="74">
        <v>2.5100000000000001E-2</v>
      </c>
    </row>
    <row r="1088" spans="1:8" ht="15.6">
      <c r="A1088" s="468" t="s">
        <v>1516</v>
      </c>
      <c r="B1088" s="67">
        <v>50</v>
      </c>
      <c r="C1088" s="69" t="s">
        <v>38</v>
      </c>
      <c r="D1088" s="71" t="s">
        <v>19</v>
      </c>
      <c r="E1088" s="70">
        <v>13.979799999999999</v>
      </c>
      <c r="F1088" s="74">
        <v>0.45960000000000001</v>
      </c>
      <c r="G1088" s="70">
        <v>0.86921999999999999</v>
      </c>
      <c r="H1088" s="74">
        <v>2.86E-2</v>
      </c>
    </row>
    <row r="1089" spans="1:8" ht="15.6">
      <c r="A1089" s="468" t="s">
        <v>1517</v>
      </c>
      <c r="B1089" s="67">
        <v>51</v>
      </c>
      <c r="C1089" s="69" t="s">
        <v>38</v>
      </c>
      <c r="D1089" s="71" t="s">
        <v>23</v>
      </c>
      <c r="E1089" s="70">
        <v>17.210049999999999</v>
      </c>
      <c r="F1089" s="74">
        <v>0.56579999999999997</v>
      </c>
      <c r="G1089" s="70">
        <v>1.14116</v>
      </c>
      <c r="H1089" s="74">
        <v>3.7499999999999999E-2</v>
      </c>
    </row>
    <row r="1090" spans="1:8" ht="15.6">
      <c r="A1090" s="468" t="s">
        <v>1518</v>
      </c>
      <c r="B1090" s="67">
        <v>52</v>
      </c>
      <c r="C1090" s="69" t="s">
        <v>38</v>
      </c>
      <c r="D1090" s="71" t="s">
        <v>20</v>
      </c>
      <c r="E1090" s="70">
        <v>19.35078</v>
      </c>
      <c r="F1090" s="74">
        <v>0.63619999999999999</v>
      </c>
      <c r="G1090" s="70">
        <v>1.3213600000000001</v>
      </c>
      <c r="H1090" s="74">
        <v>4.3400000000000001E-2</v>
      </c>
    </row>
    <row r="1091" spans="1:8" ht="15.6">
      <c r="A1091" s="468" t="s">
        <v>1519</v>
      </c>
      <c r="B1091" s="67">
        <v>53</v>
      </c>
      <c r="C1091" s="69" t="s">
        <v>38</v>
      </c>
      <c r="D1091" s="71" t="s">
        <v>53</v>
      </c>
      <c r="E1091" s="70">
        <v>18.219580000000001</v>
      </c>
      <c r="F1091" s="74">
        <v>0.59899999999999998</v>
      </c>
      <c r="G1091" s="70">
        <v>1.22614</v>
      </c>
      <c r="H1091" s="74">
        <v>4.0300000000000002E-2</v>
      </c>
    </row>
    <row r="1092" spans="1:8" ht="15.6">
      <c r="A1092" s="468" t="s">
        <v>1520</v>
      </c>
      <c r="B1092" s="67">
        <v>54</v>
      </c>
      <c r="C1092" s="69" t="s">
        <v>38</v>
      </c>
      <c r="D1092" s="71" t="s">
        <v>41</v>
      </c>
      <c r="E1092" s="70">
        <v>18.306270000000001</v>
      </c>
      <c r="F1092" s="74">
        <v>0.60189999999999999</v>
      </c>
      <c r="G1092" s="70">
        <v>1.2334499999999999</v>
      </c>
      <c r="H1092" s="74">
        <v>4.0599999999999997E-2</v>
      </c>
    </row>
    <row r="1093" spans="1:8" ht="15.6">
      <c r="A1093" s="468" t="s">
        <v>1521</v>
      </c>
      <c r="B1093" s="67">
        <v>55</v>
      </c>
      <c r="C1093" s="69" t="s">
        <v>38</v>
      </c>
      <c r="D1093" s="71" t="s">
        <v>36</v>
      </c>
      <c r="E1093" s="70">
        <v>16.000689999999999</v>
      </c>
      <c r="F1093" s="74">
        <v>0.52610000000000001</v>
      </c>
      <c r="G1093" s="70">
        <v>1.03932</v>
      </c>
      <c r="H1093" s="74">
        <v>3.4200000000000001E-2</v>
      </c>
    </row>
    <row r="1094" spans="1:8" ht="15.6">
      <c r="A1094" s="468" t="s">
        <v>1522</v>
      </c>
      <c r="B1094" s="67">
        <v>56</v>
      </c>
      <c r="C1094" s="69" t="s">
        <v>38</v>
      </c>
      <c r="D1094" s="71" t="s">
        <v>15</v>
      </c>
      <c r="E1094" s="70">
        <v>15.263389999999999</v>
      </c>
      <c r="F1094" s="74">
        <v>0.50180000000000002</v>
      </c>
      <c r="G1094" s="70">
        <v>0.97728000000000004</v>
      </c>
      <c r="H1094" s="74">
        <v>3.2099999999999997E-2</v>
      </c>
    </row>
    <row r="1095" spans="1:8" ht="15.6">
      <c r="A1095" s="468" t="s">
        <v>1523</v>
      </c>
      <c r="B1095" s="67">
        <v>57</v>
      </c>
      <c r="C1095" s="69" t="s">
        <v>38</v>
      </c>
      <c r="D1095" s="71" t="s">
        <v>16</v>
      </c>
      <c r="E1095" s="70">
        <v>23.876480000000001</v>
      </c>
      <c r="F1095" s="74">
        <v>0.78500000000000003</v>
      </c>
      <c r="G1095" s="70">
        <v>1.7023600000000001</v>
      </c>
      <c r="H1095" s="74">
        <v>5.6000000000000001E-2</v>
      </c>
    </row>
    <row r="1096" spans="1:8" ht="15.6">
      <c r="A1096" s="468" t="s">
        <v>1524</v>
      </c>
      <c r="B1096" s="67">
        <v>58</v>
      </c>
      <c r="C1096" s="69" t="s">
        <v>38</v>
      </c>
      <c r="D1096" s="71" t="s">
        <v>17</v>
      </c>
      <c r="E1096" s="70">
        <v>45.661499999999997</v>
      </c>
      <c r="F1096" s="74">
        <v>1.5012000000000001</v>
      </c>
      <c r="G1096" s="70">
        <v>3.53634</v>
      </c>
      <c r="H1096" s="74">
        <v>0.1163</v>
      </c>
    </row>
    <row r="1097" spans="1:8" ht="15.6">
      <c r="A1097" s="468" t="s">
        <v>1525</v>
      </c>
      <c r="B1097" s="67">
        <v>59</v>
      </c>
      <c r="C1097" s="69" t="s">
        <v>38</v>
      </c>
      <c r="D1097" s="71" t="s">
        <v>10</v>
      </c>
      <c r="E1097" s="70">
        <v>45.661499999999997</v>
      </c>
      <c r="F1097" s="74">
        <v>1.5012000000000001</v>
      </c>
      <c r="G1097" s="70">
        <v>3.53634</v>
      </c>
      <c r="H1097" s="74">
        <v>0.1163</v>
      </c>
    </row>
    <row r="1098" spans="1:8" ht="15.6">
      <c r="A1098" s="468" t="s">
        <v>1526</v>
      </c>
      <c r="B1098" s="67">
        <v>60</v>
      </c>
      <c r="C1098" s="69" t="s">
        <v>38</v>
      </c>
      <c r="D1098" s="71" t="s">
        <v>22</v>
      </c>
      <c r="E1098" s="70">
        <v>14.45978</v>
      </c>
      <c r="F1098" s="74">
        <v>0.47539999999999999</v>
      </c>
      <c r="G1098" s="70">
        <v>0.90961999999999998</v>
      </c>
      <c r="H1098" s="74">
        <v>2.9899999999999999E-2</v>
      </c>
    </row>
    <row r="1099" spans="1:8" ht="15.6">
      <c r="A1099" s="468" t="s">
        <v>1527</v>
      </c>
      <c r="B1099" s="67">
        <v>61</v>
      </c>
      <c r="C1099" s="69" t="s">
        <v>38</v>
      </c>
      <c r="D1099" s="71" t="s">
        <v>35</v>
      </c>
      <c r="E1099" s="70">
        <v>13.657690000000001</v>
      </c>
      <c r="F1099" s="74">
        <v>0.44900000000000001</v>
      </c>
      <c r="G1099" s="70">
        <v>0.84211000000000003</v>
      </c>
      <c r="H1099" s="74">
        <v>2.7699999999999999E-2</v>
      </c>
    </row>
    <row r="1100" spans="1:8" ht="15.6">
      <c r="A1100" s="468" t="s">
        <v>1528</v>
      </c>
      <c r="B1100" s="67">
        <v>62</v>
      </c>
      <c r="C1100" s="69" t="s">
        <v>38</v>
      </c>
      <c r="D1100" s="71" t="s">
        <v>24</v>
      </c>
      <c r="E1100" s="70">
        <v>18.978179999999998</v>
      </c>
      <c r="F1100" s="74">
        <v>0.62390000000000001</v>
      </c>
      <c r="G1100" s="70">
        <v>1.2900100000000001</v>
      </c>
      <c r="H1100" s="74">
        <v>4.24E-2</v>
      </c>
    </row>
    <row r="1101" spans="1:8" ht="15.6">
      <c r="A1101" s="468" t="s">
        <v>1529</v>
      </c>
      <c r="B1101" s="67">
        <v>63</v>
      </c>
      <c r="C1101" s="69" t="s">
        <v>38</v>
      </c>
      <c r="D1101" s="71" t="s">
        <v>37</v>
      </c>
      <c r="E1101" s="70">
        <v>15.942589999999999</v>
      </c>
      <c r="F1101" s="74">
        <v>0.52410000000000001</v>
      </c>
      <c r="G1101" s="70">
        <v>1.0344599999999999</v>
      </c>
      <c r="H1101" s="74">
        <v>3.4000000000000002E-2</v>
      </c>
    </row>
    <row r="1102" spans="1:8" ht="15.6">
      <c r="A1102" s="468" t="s">
        <v>1530</v>
      </c>
      <c r="B1102" s="67">
        <v>64</v>
      </c>
      <c r="C1102" s="69" t="s">
        <v>38</v>
      </c>
      <c r="D1102" s="71" t="s">
        <v>38</v>
      </c>
      <c r="E1102" s="70">
        <v>4.0423799999999996</v>
      </c>
      <c r="F1102" s="74">
        <v>0.13289999999999999</v>
      </c>
      <c r="G1102" s="70">
        <v>3.261E-2</v>
      </c>
      <c r="H1102" s="74">
        <v>1.1000000000000001E-3</v>
      </c>
    </row>
    <row r="1103" spans="1:8" ht="15.6">
      <c r="A1103" s="468" t="s">
        <v>1531</v>
      </c>
      <c r="B1103" s="67">
        <v>65</v>
      </c>
      <c r="C1103" s="69" t="s">
        <v>38</v>
      </c>
      <c r="D1103" s="71" t="s">
        <v>26</v>
      </c>
      <c r="E1103" s="70">
        <v>19.400359999999999</v>
      </c>
      <c r="F1103" s="74">
        <v>0.63780000000000003</v>
      </c>
      <c r="G1103" s="70">
        <v>1.32555</v>
      </c>
      <c r="H1103" s="74">
        <v>4.36E-2</v>
      </c>
    </row>
    <row r="1104" spans="1:8" ht="15.6">
      <c r="A1104" s="468" t="s">
        <v>1532</v>
      </c>
      <c r="B1104" s="67">
        <v>66</v>
      </c>
      <c r="C1104" s="69" t="s">
        <v>38</v>
      </c>
      <c r="D1104" s="71" t="s">
        <v>52</v>
      </c>
      <c r="E1104" s="70">
        <v>42.230200000000004</v>
      </c>
      <c r="F1104" s="74">
        <v>1.3884000000000001</v>
      </c>
      <c r="G1104" s="70">
        <v>3.2474599999999998</v>
      </c>
      <c r="H1104" s="74">
        <v>0.10680000000000001</v>
      </c>
    </row>
    <row r="1105" spans="1:8" ht="15.6">
      <c r="A1105" s="468" t="s">
        <v>1533</v>
      </c>
      <c r="B1105" s="67">
        <v>67</v>
      </c>
      <c r="C1105" s="69" t="s">
        <v>38</v>
      </c>
      <c r="D1105" s="71" t="s">
        <v>40</v>
      </c>
      <c r="E1105" s="70">
        <v>18.795680000000001</v>
      </c>
      <c r="F1105" s="74">
        <v>0.6179</v>
      </c>
      <c r="G1105" s="70">
        <v>1.2746500000000001</v>
      </c>
      <c r="H1105" s="74">
        <v>4.19E-2</v>
      </c>
    </row>
    <row r="1106" spans="1:8" ht="15.6">
      <c r="A1106" s="468" t="s">
        <v>1534</v>
      </c>
      <c r="B1106" s="67">
        <v>68</v>
      </c>
      <c r="C1106" s="69" t="s">
        <v>38</v>
      </c>
      <c r="D1106" s="71" t="s">
        <v>34</v>
      </c>
      <c r="E1106" s="70">
        <v>51.67548</v>
      </c>
      <c r="F1106" s="74">
        <v>1.6989000000000001</v>
      </c>
      <c r="G1106" s="70">
        <v>4.0426299999999999</v>
      </c>
      <c r="H1106" s="74">
        <v>0.13289999999999999</v>
      </c>
    </row>
    <row r="1107" spans="1:8" ht="15.6">
      <c r="A1107" s="468" t="s">
        <v>1535</v>
      </c>
      <c r="B1107" s="67">
        <v>69</v>
      </c>
      <c r="C1107" s="69" t="s">
        <v>38</v>
      </c>
      <c r="D1107" s="71" t="s">
        <v>54</v>
      </c>
      <c r="E1107" s="70">
        <v>18.219580000000001</v>
      </c>
      <c r="F1107" s="74">
        <v>0.59899999999999998</v>
      </c>
      <c r="G1107" s="70">
        <v>1.22614</v>
      </c>
      <c r="H1107" s="74">
        <v>4.0300000000000002E-2</v>
      </c>
    </row>
    <row r="1108" spans="1:8" ht="15.6">
      <c r="A1108" s="468" t="s">
        <v>1536</v>
      </c>
      <c r="B1108" s="67">
        <v>70</v>
      </c>
      <c r="C1108" s="69" t="s">
        <v>26</v>
      </c>
      <c r="D1108" s="71" t="s">
        <v>12</v>
      </c>
      <c r="E1108" s="70">
        <v>81.820229999999995</v>
      </c>
      <c r="F1108" s="74">
        <v>2.69</v>
      </c>
      <c r="G1108" s="70">
        <v>6.5804099999999996</v>
      </c>
      <c r="H1108" s="74">
        <v>0.21629999999999999</v>
      </c>
    </row>
    <row r="1109" spans="1:8" ht="15.6">
      <c r="A1109" s="468" t="s">
        <v>1537</v>
      </c>
      <c r="B1109" s="67">
        <v>71</v>
      </c>
      <c r="C1109" s="69" t="s">
        <v>26</v>
      </c>
      <c r="D1109" s="71" t="s">
        <v>51</v>
      </c>
      <c r="E1109" s="70">
        <v>71.331040000000002</v>
      </c>
      <c r="F1109" s="74">
        <v>2.3451</v>
      </c>
      <c r="G1109" s="70">
        <v>5.6973599999999998</v>
      </c>
      <c r="H1109" s="74">
        <v>0.18729999999999999</v>
      </c>
    </row>
    <row r="1110" spans="1:8" ht="15.6">
      <c r="A1110" s="468" t="s">
        <v>1538</v>
      </c>
      <c r="B1110" s="67">
        <v>72</v>
      </c>
      <c r="C1110" s="69" t="s">
        <v>26</v>
      </c>
      <c r="D1110" s="71" t="s">
        <v>13</v>
      </c>
      <c r="E1110" s="70">
        <v>67.033469999999994</v>
      </c>
      <c r="F1110" s="74">
        <v>2.2038000000000002</v>
      </c>
      <c r="G1110" s="70">
        <v>5.3355699999999997</v>
      </c>
      <c r="H1110" s="74">
        <v>0.1754</v>
      </c>
    </row>
    <row r="1111" spans="1:8" ht="15.6">
      <c r="A1111" s="468" t="s">
        <v>1539</v>
      </c>
      <c r="B1111" s="67">
        <v>73</v>
      </c>
      <c r="C1111" s="69" t="s">
        <v>26</v>
      </c>
      <c r="D1111" s="71" t="s">
        <v>9</v>
      </c>
      <c r="E1111" s="70">
        <v>60.57114</v>
      </c>
      <c r="F1111" s="74">
        <v>1.9914000000000001</v>
      </c>
      <c r="G1111" s="70">
        <v>4.7915200000000002</v>
      </c>
      <c r="H1111" s="74">
        <v>0.1575</v>
      </c>
    </row>
    <row r="1112" spans="1:8" ht="15.6">
      <c r="A1112" s="468" t="s">
        <v>1540</v>
      </c>
      <c r="B1112" s="67">
        <v>74</v>
      </c>
      <c r="C1112" s="69" t="s">
        <v>26</v>
      </c>
      <c r="D1112" s="71" t="s">
        <v>14</v>
      </c>
      <c r="E1112" s="70">
        <v>57.588479999999997</v>
      </c>
      <c r="F1112" s="74">
        <v>1.8933</v>
      </c>
      <c r="G1112" s="70">
        <v>4.5404299999999997</v>
      </c>
      <c r="H1112" s="74">
        <v>0.14929999999999999</v>
      </c>
    </row>
    <row r="1113" spans="1:8" ht="15.6">
      <c r="A1113" s="468" t="s">
        <v>1541</v>
      </c>
      <c r="B1113" s="67">
        <v>75</v>
      </c>
      <c r="C1113" s="69" t="s">
        <v>26</v>
      </c>
      <c r="D1113" s="71" t="s">
        <v>33</v>
      </c>
      <c r="E1113" s="70">
        <v>46.384810000000002</v>
      </c>
      <c r="F1113" s="74">
        <v>1.5249999999999999</v>
      </c>
      <c r="G1113" s="70">
        <v>3.5972599999999999</v>
      </c>
      <c r="H1113" s="74">
        <v>0.1183</v>
      </c>
    </row>
    <row r="1114" spans="1:8" ht="15.6">
      <c r="A1114" s="468" t="s">
        <v>1542</v>
      </c>
      <c r="B1114" s="67">
        <v>76</v>
      </c>
      <c r="C1114" s="69" t="s">
        <v>26</v>
      </c>
      <c r="D1114" s="71" t="s">
        <v>25</v>
      </c>
      <c r="E1114" s="70">
        <v>41.785200000000003</v>
      </c>
      <c r="F1114" s="74">
        <v>1.3737999999999999</v>
      </c>
      <c r="G1114" s="70">
        <v>3.21001</v>
      </c>
      <c r="H1114" s="74">
        <v>0.1055</v>
      </c>
    </row>
    <row r="1115" spans="1:8" ht="15.6">
      <c r="A1115" s="468" t="s">
        <v>1543</v>
      </c>
      <c r="B1115" s="67">
        <v>77</v>
      </c>
      <c r="C1115" s="69" t="s">
        <v>26</v>
      </c>
      <c r="D1115" s="71" t="s">
        <v>31</v>
      </c>
      <c r="E1115" s="70">
        <v>23.61185</v>
      </c>
      <c r="F1115" s="74">
        <v>0.77629999999999999</v>
      </c>
      <c r="G1115" s="70">
        <v>1.6800999999999999</v>
      </c>
      <c r="H1115" s="74">
        <v>5.5199999999999999E-2</v>
      </c>
    </row>
    <row r="1116" spans="1:8" ht="15.6">
      <c r="A1116" s="468" t="s">
        <v>1544</v>
      </c>
      <c r="B1116" s="67">
        <v>1</v>
      </c>
      <c r="C1116" s="69" t="s">
        <v>26</v>
      </c>
      <c r="D1116" s="71" t="s">
        <v>45</v>
      </c>
      <c r="E1116" s="70">
        <v>33.788049999999998</v>
      </c>
      <c r="F1116" s="74">
        <v>1.1108</v>
      </c>
      <c r="G1116" s="70">
        <v>2.5367700000000002</v>
      </c>
      <c r="H1116" s="74">
        <v>8.3400000000000002E-2</v>
      </c>
    </row>
    <row r="1117" spans="1:8" ht="15.6">
      <c r="A1117" s="468" t="s">
        <v>1545</v>
      </c>
      <c r="B1117" s="67">
        <v>2</v>
      </c>
      <c r="C1117" s="69" t="s">
        <v>26</v>
      </c>
      <c r="D1117" s="71" t="s">
        <v>27</v>
      </c>
      <c r="E1117" s="70">
        <v>27.491800000000001</v>
      </c>
      <c r="F1117" s="74">
        <v>0.90380000000000005</v>
      </c>
      <c r="G1117" s="70">
        <v>2.0067300000000001</v>
      </c>
      <c r="H1117" s="74">
        <v>6.6000000000000003E-2</v>
      </c>
    </row>
    <row r="1118" spans="1:8" ht="15.6">
      <c r="A1118" s="468" t="s">
        <v>1546</v>
      </c>
      <c r="B1118" s="67">
        <v>3</v>
      </c>
      <c r="C1118" s="69" t="s">
        <v>26</v>
      </c>
      <c r="D1118" s="71" t="s">
        <v>21</v>
      </c>
      <c r="E1118" s="70">
        <v>22.81372</v>
      </c>
      <c r="F1118" s="74">
        <v>0.75</v>
      </c>
      <c r="G1118" s="70">
        <v>1.6128800000000001</v>
      </c>
      <c r="H1118" s="74">
        <v>5.2999999999999999E-2</v>
      </c>
    </row>
    <row r="1119" spans="1:8" ht="15.6">
      <c r="A1119" s="468" t="s">
        <v>1547</v>
      </c>
      <c r="B1119" s="67">
        <v>4</v>
      </c>
      <c r="C1119" s="69" t="s">
        <v>26</v>
      </c>
      <c r="D1119" s="71" t="s">
        <v>32</v>
      </c>
      <c r="E1119" s="70">
        <v>39.724170000000001</v>
      </c>
      <c r="F1119" s="74">
        <v>1.306</v>
      </c>
      <c r="G1119" s="70">
        <v>3.0365000000000002</v>
      </c>
      <c r="H1119" s="74">
        <v>9.98E-2</v>
      </c>
    </row>
    <row r="1120" spans="1:8" ht="15.6">
      <c r="A1120" s="468" t="s">
        <v>1548</v>
      </c>
      <c r="B1120" s="67">
        <v>5</v>
      </c>
      <c r="C1120" s="69" t="s">
        <v>26</v>
      </c>
      <c r="D1120" s="71" t="s">
        <v>30</v>
      </c>
      <c r="E1120" s="70">
        <v>21.425799999999999</v>
      </c>
      <c r="F1120" s="74">
        <v>0.70440000000000003</v>
      </c>
      <c r="G1120" s="70">
        <v>1.4960899999999999</v>
      </c>
      <c r="H1120" s="74">
        <v>4.9200000000000001E-2</v>
      </c>
    </row>
    <row r="1121" spans="1:8" ht="15.6">
      <c r="A1121" s="468" t="s">
        <v>1549</v>
      </c>
      <c r="B1121" s="67">
        <v>6</v>
      </c>
      <c r="C1121" s="69" t="s">
        <v>26</v>
      </c>
      <c r="D1121" s="71" t="s">
        <v>28</v>
      </c>
      <c r="E1121" s="70">
        <v>21.000879999999999</v>
      </c>
      <c r="F1121" s="74">
        <v>0.69040000000000001</v>
      </c>
      <c r="G1121" s="70">
        <v>1.4602999999999999</v>
      </c>
      <c r="H1121" s="74">
        <v>4.8000000000000001E-2</v>
      </c>
    </row>
    <row r="1122" spans="1:8" ht="15.6">
      <c r="A1122" s="468" t="s">
        <v>1550</v>
      </c>
      <c r="B1122" s="67">
        <v>7</v>
      </c>
      <c r="C1122" s="69" t="s">
        <v>26</v>
      </c>
      <c r="D1122" s="71" t="s">
        <v>79</v>
      </c>
      <c r="E1122" s="70">
        <v>19.80368</v>
      </c>
      <c r="F1122" s="74">
        <v>0.65110000000000001</v>
      </c>
      <c r="G1122" s="70">
        <v>1.3594900000000001</v>
      </c>
      <c r="H1122" s="74">
        <v>4.4699999999999997E-2</v>
      </c>
    </row>
    <row r="1123" spans="1:8" ht="15.6">
      <c r="A1123" s="468" t="s">
        <v>1551</v>
      </c>
      <c r="B1123" s="67">
        <v>8</v>
      </c>
      <c r="C1123" s="69" t="s">
        <v>26</v>
      </c>
      <c r="D1123" s="71" t="s">
        <v>29</v>
      </c>
      <c r="E1123" s="70">
        <v>11.76638</v>
      </c>
      <c r="F1123" s="74">
        <v>0.38679999999999998</v>
      </c>
      <c r="G1123" s="70">
        <v>0.68286999999999998</v>
      </c>
      <c r="H1123" s="74">
        <v>2.2499999999999999E-2</v>
      </c>
    </row>
    <row r="1124" spans="1:8" ht="15.6">
      <c r="A1124" s="468" t="s">
        <v>1552</v>
      </c>
      <c r="B1124" s="67">
        <v>9</v>
      </c>
      <c r="C1124" s="69" t="s">
        <v>26</v>
      </c>
      <c r="D1124" s="71" t="s">
        <v>43</v>
      </c>
      <c r="E1124" s="70">
        <v>19.525680000000001</v>
      </c>
      <c r="F1124" s="74">
        <v>0.64190000000000003</v>
      </c>
      <c r="G1124" s="70">
        <v>1.3360799999999999</v>
      </c>
      <c r="H1124" s="74">
        <v>4.3900000000000002E-2</v>
      </c>
    </row>
    <row r="1125" spans="1:8" ht="15.6">
      <c r="A1125" s="468" t="s">
        <v>1553</v>
      </c>
      <c r="B1125" s="67">
        <v>10</v>
      </c>
      <c r="C1125" s="69" t="s">
        <v>26</v>
      </c>
      <c r="D1125" s="71" t="s">
        <v>18</v>
      </c>
      <c r="E1125" s="70">
        <v>18.810279999999999</v>
      </c>
      <c r="F1125" s="74">
        <v>0.61839999999999995</v>
      </c>
      <c r="G1125" s="70">
        <v>1.2758499999999999</v>
      </c>
      <c r="H1125" s="74">
        <v>4.2000000000000003E-2</v>
      </c>
    </row>
    <row r="1126" spans="1:8" ht="15.6">
      <c r="A1126" s="468" t="s">
        <v>1554</v>
      </c>
      <c r="B1126" s="67">
        <v>11</v>
      </c>
      <c r="C1126" s="69" t="s">
        <v>26</v>
      </c>
      <c r="D1126" s="71" t="s">
        <v>76</v>
      </c>
      <c r="E1126" s="70">
        <v>19.525680000000001</v>
      </c>
      <c r="F1126" s="74">
        <v>0.64190000000000003</v>
      </c>
      <c r="G1126" s="70">
        <v>1.3360799999999999</v>
      </c>
      <c r="H1126" s="74">
        <v>4.3900000000000002E-2</v>
      </c>
    </row>
    <row r="1127" spans="1:8" ht="15.6">
      <c r="A1127" s="468" t="s">
        <v>1555</v>
      </c>
      <c r="B1127" s="67">
        <v>12</v>
      </c>
      <c r="C1127" s="69" t="s">
        <v>26</v>
      </c>
      <c r="D1127" s="71" t="s">
        <v>19</v>
      </c>
      <c r="E1127" s="70">
        <v>11.18816</v>
      </c>
      <c r="F1127" s="74">
        <v>0.36780000000000002</v>
      </c>
      <c r="G1127" s="70">
        <v>0.63417999999999997</v>
      </c>
      <c r="H1127" s="74">
        <v>2.0899999999999998E-2</v>
      </c>
    </row>
    <row r="1128" spans="1:8" ht="15.6">
      <c r="A1128" s="468" t="s">
        <v>1556</v>
      </c>
      <c r="B1128" s="67">
        <v>13</v>
      </c>
      <c r="C1128" s="69" t="s">
        <v>26</v>
      </c>
      <c r="D1128" s="71" t="s">
        <v>23</v>
      </c>
      <c r="E1128" s="70">
        <v>12.17731</v>
      </c>
      <c r="F1128" s="74">
        <v>0.40039999999999998</v>
      </c>
      <c r="G1128" s="70">
        <v>0.71747000000000005</v>
      </c>
      <c r="H1128" s="74">
        <v>2.3599999999999999E-2</v>
      </c>
    </row>
    <row r="1129" spans="1:8" ht="15.6">
      <c r="A1129" s="468" t="s">
        <v>1557</v>
      </c>
      <c r="B1129" s="67">
        <v>14</v>
      </c>
      <c r="C1129" s="69" t="s">
        <v>26</v>
      </c>
      <c r="D1129" s="71" t="s">
        <v>20</v>
      </c>
      <c r="E1129" s="70">
        <v>8.7615200000000009</v>
      </c>
      <c r="F1129" s="74">
        <v>0.28810000000000002</v>
      </c>
      <c r="G1129" s="70">
        <v>0.4299</v>
      </c>
      <c r="H1129" s="74">
        <v>1.41E-2</v>
      </c>
    </row>
    <row r="1130" spans="1:8" ht="15.6">
      <c r="A1130" s="468" t="s">
        <v>1558</v>
      </c>
      <c r="B1130" s="67">
        <v>15</v>
      </c>
      <c r="C1130" s="69" t="s">
        <v>26</v>
      </c>
      <c r="D1130" s="71" t="s">
        <v>53</v>
      </c>
      <c r="E1130" s="70">
        <v>25.011019999999998</v>
      </c>
      <c r="F1130" s="74">
        <v>0.82230000000000003</v>
      </c>
      <c r="G1130" s="70">
        <v>1.79789</v>
      </c>
      <c r="H1130" s="74">
        <v>5.91E-2</v>
      </c>
    </row>
    <row r="1131" spans="1:8" ht="15.6">
      <c r="A1131" s="468" t="s">
        <v>1559</v>
      </c>
      <c r="B1131" s="67">
        <v>16</v>
      </c>
      <c r="C1131" s="69" t="s">
        <v>26</v>
      </c>
      <c r="D1131" s="71" t="s">
        <v>41</v>
      </c>
      <c r="E1131" s="70">
        <v>25.098009999999999</v>
      </c>
      <c r="F1131" s="74">
        <v>0.82509999999999994</v>
      </c>
      <c r="G1131" s="70">
        <v>1.80522</v>
      </c>
      <c r="H1131" s="74">
        <v>5.9400000000000001E-2</v>
      </c>
    </row>
    <row r="1132" spans="1:8" ht="15.6">
      <c r="A1132" s="468" t="s">
        <v>1560</v>
      </c>
      <c r="B1132" s="67">
        <v>17</v>
      </c>
      <c r="C1132" s="69" t="s">
        <v>26</v>
      </c>
      <c r="D1132" s="71" t="s">
        <v>36</v>
      </c>
      <c r="E1132" s="70">
        <v>22.791820000000001</v>
      </c>
      <c r="F1132" s="74">
        <v>0.74929999999999997</v>
      </c>
      <c r="G1132" s="70">
        <v>1.61107</v>
      </c>
      <c r="H1132" s="74">
        <v>5.2999999999999999E-2</v>
      </c>
    </row>
    <row r="1133" spans="1:8" ht="15.6">
      <c r="A1133" s="468" t="s">
        <v>1561</v>
      </c>
      <c r="B1133" s="67">
        <v>18</v>
      </c>
      <c r="C1133" s="69" t="s">
        <v>26</v>
      </c>
      <c r="D1133" s="71" t="s">
        <v>15</v>
      </c>
      <c r="E1133" s="70">
        <v>8.1790400000000005</v>
      </c>
      <c r="F1133" s="74">
        <v>0.26889999999999997</v>
      </c>
      <c r="G1133" s="70">
        <v>0.38088</v>
      </c>
      <c r="H1133" s="74">
        <v>1.2500000000000001E-2</v>
      </c>
    </row>
    <row r="1134" spans="1:8" ht="15.6">
      <c r="A1134" s="468" t="s">
        <v>1562</v>
      </c>
      <c r="B1134" s="67">
        <v>19</v>
      </c>
      <c r="C1134" s="69" t="s">
        <v>26</v>
      </c>
      <c r="D1134" s="71" t="s">
        <v>16</v>
      </c>
      <c r="E1134" s="70">
        <v>13.8697</v>
      </c>
      <c r="F1134" s="74">
        <v>0.45600000000000002</v>
      </c>
      <c r="G1134" s="70">
        <v>0.85995999999999995</v>
      </c>
      <c r="H1134" s="74">
        <v>2.8299999999999999E-2</v>
      </c>
    </row>
    <row r="1135" spans="1:8" ht="15.6">
      <c r="A1135" s="468" t="s">
        <v>1563</v>
      </c>
      <c r="B1135" s="67">
        <v>20</v>
      </c>
      <c r="C1135" s="69" t="s">
        <v>26</v>
      </c>
      <c r="D1135" s="71" t="s">
        <v>17</v>
      </c>
      <c r="E1135" s="70">
        <v>61.019480000000001</v>
      </c>
      <c r="F1135" s="74">
        <v>2.0061</v>
      </c>
      <c r="G1135" s="70">
        <v>4.8292799999999998</v>
      </c>
      <c r="H1135" s="74">
        <v>0.1588</v>
      </c>
    </row>
    <row r="1136" spans="1:8" ht="15.6">
      <c r="A1136" s="468" t="s">
        <v>1564</v>
      </c>
      <c r="B1136" s="67">
        <v>21</v>
      </c>
      <c r="C1136" s="69" t="s">
        <v>26</v>
      </c>
      <c r="D1136" s="71" t="s">
        <v>10</v>
      </c>
      <c r="E1136" s="70">
        <v>61.019480000000001</v>
      </c>
      <c r="F1136" s="74">
        <v>2.0061</v>
      </c>
      <c r="G1136" s="70">
        <v>4.8292799999999998</v>
      </c>
      <c r="H1136" s="74">
        <v>0.1588</v>
      </c>
    </row>
    <row r="1137" spans="1:8" ht="15.6">
      <c r="A1137" s="468" t="s">
        <v>1565</v>
      </c>
      <c r="B1137" s="67">
        <v>22</v>
      </c>
      <c r="C1137" s="69" t="s">
        <v>26</v>
      </c>
      <c r="D1137" s="71" t="s">
        <v>22</v>
      </c>
      <c r="E1137" s="70">
        <v>9.4267299999999992</v>
      </c>
      <c r="F1137" s="74">
        <v>0.30990000000000001</v>
      </c>
      <c r="G1137" s="70">
        <v>0.48593999999999998</v>
      </c>
      <c r="H1137" s="74">
        <v>1.6E-2</v>
      </c>
    </row>
    <row r="1138" spans="1:8" ht="15.6">
      <c r="A1138" s="468" t="s">
        <v>1566</v>
      </c>
      <c r="B1138" s="67">
        <v>23</v>
      </c>
      <c r="C1138" s="69" t="s">
        <v>26</v>
      </c>
      <c r="D1138" s="71" t="s">
        <v>35</v>
      </c>
      <c r="E1138" s="70">
        <v>20.44943</v>
      </c>
      <c r="F1138" s="74">
        <v>0.67230000000000001</v>
      </c>
      <c r="G1138" s="70">
        <v>1.4138500000000001</v>
      </c>
      <c r="H1138" s="74">
        <v>4.65E-2</v>
      </c>
    </row>
    <row r="1139" spans="1:8" ht="15.6">
      <c r="A1139" s="468" t="s">
        <v>1567</v>
      </c>
      <c r="B1139" s="67">
        <v>24</v>
      </c>
      <c r="C1139" s="69" t="s">
        <v>26</v>
      </c>
      <c r="D1139" s="71" t="s">
        <v>24</v>
      </c>
      <c r="E1139" s="70">
        <v>6.2637</v>
      </c>
      <c r="F1139" s="74">
        <v>0.2059</v>
      </c>
      <c r="G1139" s="70">
        <v>0.21962999999999999</v>
      </c>
      <c r="H1139" s="74">
        <v>7.1999999999999998E-3</v>
      </c>
    </row>
    <row r="1140" spans="1:8" ht="15.6">
      <c r="A1140" s="468" t="s">
        <v>1568</v>
      </c>
      <c r="B1140" s="67">
        <v>25</v>
      </c>
      <c r="C1140" s="69" t="s">
        <v>26</v>
      </c>
      <c r="D1140" s="71" t="s">
        <v>37</v>
      </c>
      <c r="E1140" s="70">
        <v>22.73433</v>
      </c>
      <c r="F1140" s="74">
        <v>0.74739999999999995</v>
      </c>
      <c r="G1140" s="70">
        <v>1.6062099999999999</v>
      </c>
      <c r="H1140" s="74">
        <v>5.28E-2</v>
      </c>
    </row>
    <row r="1141" spans="1:8" ht="15.6">
      <c r="A1141" s="468" t="s">
        <v>1569</v>
      </c>
      <c r="B1141" s="67">
        <v>26</v>
      </c>
      <c r="C1141" s="69" t="s">
        <v>26</v>
      </c>
      <c r="D1141" s="71" t="s">
        <v>38</v>
      </c>
      <c r="E1141" s="70">
        <v>19.400359999999999</v>
      </c>
      <c r="F1141" s="74">
        <v>0.63780000000000003</v>
      </c>
      <c r="G1141" s="70">
        <v>1.32555</v>
      </c>
      <c r="H1141" s="74">
        <v>4.36E-2</v>
      </c>
    </row>
    <row r="1142" spans="1:8" ht="15.6">
      <c r="A1142" s="468" t="s">
        <v>1570</v>
      </c>
      <c r="B1142" s="67">
        <v>27</v>
      </c>
      <c r="C1142" s="69" t="s">
        <v>26</v>
      </c>
      <c r="D1142" s="71" t="s">
        <v>26</v>
      </c>
      <c r="E1142" s="70">
        <v>4.0423799999999996</v>
      </c>
      <c r="F1142" s="74">
        <v>0.13289999999999999</v>
      </c>
      <c r="G1142" s="70">
        <v>3.261E-2</v>
      </c>
      <c r="H1142" s="74">
        <v>1.1000000000000001E-3</v>
      </c>
    </row>
    <row r="1143" spans="1:8" ht="15.6">
      <c r="A1143" s="468" t="s">
        <v>1571</v>
      </c>
      <c r="B1143" s="67">
        <v>28</v>
      </c>
      <c r="C1143" s="69" t="s">
        <v>26</v>
      </c>
      <c r="D1143" s="71" t="s">
        <v>52</v>
      </c>
      <c r="E1143" s="70">
        <v>57.588479999999997</v>
      </c>
      <c r="F1143" s="74">
        <v>1.8933</v>
      </c>
      <c r="G1143" s="70">
        <v>4.5404299999999997</v>
      </c>
      <c r="H1143" s="74">
        <v>0.14929999999999999</v>
      </c>
    </row>
    <row r="1144" spans="1:8" ht="15.6">
      <c r="A1144" s="468" t="s">
        <v>1572</v>
      </c>
      <c r="B1144" s="67">
        <v>29</v>
      </c>
      <c r="C1144" s="69" t="s">
        <v>26</v>
      </c>
      <c r="D1144" s="71" t="s">
        <v>40</v>
      </c>
      <c r="E1144" s="70">
        <v>25.587409999999998</v>
      </c>
      <c r="F1144" s="74">
        <v>0.84119999999999995</v>
      </c>
      <c r="G1144" s="70">
        <v>1.84639</v>
      </c>
      <c r="H1144" s="74">
        <v>6.0699999999999997E-2</v>
      </c>
    </row>
    <row r="1145" spans="1:8" ht="15.6">
      <c r="A1145" s="468" t="s">
        <v>1573</v>
      </c>
      <c r="B1145" s="67">
        <v>30</v>
      </c>
      <c r="C1145" s="69" t="s">
        <v>26</v>
      </c>
      <c r="D1145" s="71" t="s">
        <v>34</v>
      </c>
      <c r="E1145" s="70">
        <v>67.033469999999994</v>
      </c>
      <c r="F1145" s="74">
        <v>2.2038000000000002</v>
      </c>
      <c r="G1145" s="70">
        <v>5.3355699999999997</v>
      </c>
      <c r="H1145" s="74">
        <v>0.1754</v>
      </c>
    </row>
    <row r="1146" spans="1:8" ht="15.6">
      <c r="A1146" s="468" t="s">
        <v>1574</v>
      </c>
      <c r="B1146" s="67">
        <v>31</v>
      </c>
      <c r="C1146" s="69" t="s">
        <v>26</v>
      </c>
      <c r="D1146" s="71" t="s">
        <v>54</v>
      </c>
      <c r="E1146" s="70">
        <v>25.011019999999998</v>
      </c>
      <c r="F1146" s="74">
        <v>0.82230000000000003</v>
      </c>
      <c r="G1146" s="70">
        <v>1.79789</v>
      </c>
      <c r="H1146" s="74">
        <v>5.91E-2</v>
      </c>
    </row>
    <row r="1147" spans="1:8" ht="15.6">
      <c r="A1147" s="468" t="s">
        <v>1575</v>
      </c>
      <c r="B1147" s="67">
        <v>32</v>
      </c>
      <c r="C1147" s="69" t="s">
        <v>59</v>
      </c>
      <c r="D1147" s="71" t="s">
        <v>12</v>
      </c>
      <c r="E1147" s="70">
        <v>2.85825</v>
      </c>
      <c r="F1147" s="74">
        <v>9.4E-2</v>
      </c>
      <c r="G1147" s="70">
        <v>3.7130000000000003E-2</v>
      </c>
      <c r="H1147" s="74">
        <v>1.1999999999999999E-3</v>
      </c>
    </row>
    <row r="1148" spans="1:8" ht="15.6">
      <c r="A1148" s="468" t="s">
        <v>1576</v>
      </c>
      <c r="B1148" s="67">
        <v>33</v>
      </c>
      <c r="C1148" s="69" t="s">
        <v>59</v>
      </c>
      <c r="D1148" s="71" t="s">
        <v>51</v>
      </c>
      <c r="E1148" s="70">
        <v>10.103809999999999</v>
      </c>
      <c r="F1148" s="74">
        <v>0.3322</v>
      </c>
      <c r="G1148" s="70">
        <v>0.91119000000000006</v>
      </c>
      <c r="H1148" s="74">
        <v>0.03</v>
      </c>
    </row>
    <row r="1149" spans="1:8" ht="15.6">
      <c r="A1149" s="468" t="s">
        <v>1577</v>
      </c>
      <c r="B1149" s="67">
        <v>34</v>
      </c>
      <c r="C1149" s="69" t="s">
        <v>59</v>
      </c>
      <c r="D1149" s="71" t="s">
        <v>13</v>
      </c>
      <c r="E1149" s="70">
        <v>13.101979999999999</v>
      </c>
      <c r="F1149" s="74">
        <v>0.43080000000000002</v>
      </c>
      <c r="G1149" s="70">
        <v>1.27294</v>
      </c>
      <c r="H1149" s="74">
        <v>4.19E-2</v>
      </c>
    </row>
    <row r="1150" spans="1:8" ht="15.6">
      <c r="A1150" s="468" t="s">
        <v>1578</v>
      </c>
      <c r="B1150" s="67">
        <v>35</v>
      </c>
      <c r="C1150" s="69" t="s">
        <v>59</v>
      </c>
      <c r="D1150" s="71" t="s">
        <v>9</v>
      </c>
      <c r="E1150" s="70">
        <v>17.654440000000001</v>
      </c>
      <c r="F1150" s="74">
        <v>0.58040000000000003</v>
      </c>
      <c r="G1150" s="70">
        <v>1.82213</v>
      </c>
      <c r="H1150" s="74">
        <v>5.9900000000000002E-2</v>
      </c>
    </row>
    <row r="1151" spans="1:8" ht="15.6">
      <c r="A1151" s="468" t="s">
        <v>1579</v>
      </c>
      <c r="B1151" s="67">
        <v>36</v>
      </c>
      <c r="C1151" s="69" t="s">
        <v>59</v>
      </c>
      <c r="D1151" s="71" t="s">
        <v>14</v>
      </c>
      <c r="E1151" s="70">
        <v>19.693269999999998</v>
      </c>
      <c r="F1151" s="74">
        <v>0.64749999999999996</v>
      </c>
      <c r="G1151" s="70">
        <v>2.0680800000000001</v>
      </c>
      <c r="H1151" s="74">
        <v>6.8000000000000005E-2</v>
      </c>
    </row>
    <row r="1152" spans="1:8" ht="15.6">
      <c r="A1152" s="468" t="s">
        <v>1580</v>
      </c>
      <c r="B1152" s="67">
        <v>37</v>
      </c>
      <c r="C1152" s="69" t="s">
        <v>59</v>
      </c>
      <c r="D1152" s="71" t="s">
        <v>33</v>
      </c>
      <c r="E1152" s="70">
        <v>28.212980000000002</v>
      </c>
      <c r="F1152" s="74">
        <v>0.92759999999999998</v>
      </c>
      <c r="G1152" s="70">
        <v>3.0958600000000001</v>
      </c>
      <c r="H1152" s="74">
        <v>0.1018</v>
      </c>
    </row>
    <row r="1153" spans="1:8" ht="15.6">
      <c r="A1153" s="468" t="s">
        <v>1581</v>
      </c>
      <c r="B1153" s="67">
        <v>38</v>
      </c>
      <c r="C1153" s="69" t="s">
        <v>59</v>
      </c>
      <c r="D1153" s="71" t="s">
        <v>25</v>
      </c>
      <c r="E1153" s="70">
        <v>30.721440000000001</v>
      </c>
      <c r="F1153" s="74">
        <v>1.01</v>
      </c>
      <c r="G1153" s="70">
        <v>3.3984999999999999</v>
      </c>
      <c r="H1153" s="74">
        <v>0.11169999999999999</v>
      </c>
    </row>
    <row r="1154" spans="1:8" ht="15.6">
      <c r="A1154" s="468" t="s">
        <v>1582</v>
      </c>
      <c r="B1154" s="67">
        <v>39</v>
      </c>
      <c r="C1154" s="69" t="s">
        <v>59</v>
      </c>
      <c r="D1154" s="71" t="s">
        <v>31</v>
      </c>
      <c r="E1154" s="70">
        <v>43.415840000000003</v>
      </c>
      <c r="F1154" s="74">
        <v>1.4274</v>
      </c>
      <c r="G1154" s="70">
        <v>4.9299200000000001</v>
      </c>
      <c r="H1154" s="74">
        <v>0.16209999999999999</v>
      </c>
    </row>
    <row r="1155" spans="1:8" ht="15.6">
      <c r="A1155" s="468" t="s">
        <v>1583</v>
      </c>
      <c r="B1155" s="67">
        <v>40</v>
      </c>
      <c r="C1155" s="69" t="s">
        <v>59</v>
      </c>
      <c r="D1155" s="71" t="s">
        <v>45</v>
      </c>
      <c r="E1155" s="70">
        <v>36.302289999999999</v>
      </c>
      <c r="F1155" s="74">
        <v>1.1935</v>
      </c>
      <c r="G1155" s="70">
        <v>4.0717100000000004</v>
      </c>
      <c r="H1155" s="74">
        <v>0.13389999999999999</v>
      </c>
    </row>
    <row r="1156" spans="1:8" ht="15.6">
      <c r="A1156" s="468" t="s">
        <v>1584</v>
      </c>
      <c r="B1156" s="67">
        <v>41</v>
      </c>
      <c r="C1156" s="69" t="s">
        <v>59</v>
      </c>
      <c r="D1156" s="71" t="s">
        <v>27</v>
      </c>
      <c r="E1156" s="70">
        <v>40.695979999999999</v>
      </c>
      <c r="F1156" s="74">
        <v>1.3380000000000001</v>
      </c>
      <c r="G1156" s="70">
        <v>4.6017700000000001</v>
      </c>
      <c r="H1156" s="74">
        <v>0.15129999999999999</v>
      </c>
    </row>
    <row r="1157" spans="1:8" ht="15.6">
      <c r="A1157" s="468" t="s">
        <v>1585</v>
      </c>
      <c r="B1157" s="67">
        <v>42</v>
      </c>
      <c r="C1157" s="69" t="s">
        <v>59</v>
      </c>
      <c r="D1157" s="71" t="s">
        <v>21</v>
      </c>
      <c r="E1157" s="70">
        <v>44.311610000000002</v>
      </c>
      <c r="F1157" s="74">
        <v>1.4568000000000001</v>
      </c>
      <c r="G1157" s="70">
        <v>5.0379800000000001</v>
      </c>
      <c r="H1157" s="74">
        <v>0.1656</v>
      </c>
    </row>
    <row r="1158" spans="1:8" ht="15.6">
      <c r="A1158" s="468" t="s">
        <v>1586</v>
      </c>
      <c r="B1158" s="67">
        <v>43</v>
      </c>
      <c r="C1158" s="69" t="s">
        <v>59</v>
      </c>
      <c r="D1158" s="71" t="s">
        <v>32</v>
      </c>
      <c r="E1158" s="70">
        <v>39.374980000000001</v>
      </c>
      <c r="F1158" s="74">
        <v>1.2945</v>
      </c>
      <c r="G1158" s="70">
        <v>4.4424599999999996</v>
      </c>
      <c r="H1158" s="74">
        <v>0.14610000000000001</v>
      </c>
    </row>
    <row r="1159" spans="1:8" ht="15.6">
      <c r="A1159" s="468" t="s">
        <v>1587</v>
      </c>
      <c r="B1159" s="67">
        <v>44</v>
      </c>
      <c r="C1159" s="69" t="s">
        <v>59</v>
      </c>
      <c r="D1159" s="71" t="s">
        <v>30</v>
      </c>
      <c r="E1159" s="70">
        <v>52.938989999999997</v>
      </c>
      <c r="F1159" s="74">
        <v>1.7404999999999999</v>
      </c>
      <c r="G1159" s="70">
        <v>5.6400399999999999</v>
      </c>
      <c r="H1159" s="74">
        <v>0.18540000000000001</v>
      </c>
    </row>
    <row r="1160" spans="1:8" ht="15.6">
      <c r="A1160" s="468" t="s">
        <v>1588</v>
      </c>
      <c r="B1160" s="67">
        <v>45</v>
      </c>
      <c r="C1160" s="69" t="s">
        <v>59</v>
      </c>
      <c r="D1160" s="71" t="s">
        <v>28</v>
      </c>
      <c r="E1160" s="70">
        <v>54.348500000000001</v>
      </c>
      <c r="F1160" s="74">
        <v>1.7867999999999999</v>
      </c>
      <c r="G1160" s="70">
        <v>5.7983799999999999</v>
      </c>
      <c r="H1160" s="74">
        <v>0.19059999999999999</v>
      </c>
    </row>
    <row r="1161" spans="1:8" ht="15.6">
      <c r="A1161" s="468" t="s">
        <v>1589</v>
      </c>
      <c r="B1161" s="67">
        <v>46</v>
      </c>
      <c r="C1161" s="69" t="s">
        <v>59</v>
      </c>
      <c r="D1161" s="71" t="s">
        <v>79</v>
      </c>
      <c r="E1161" s="70">
        <v>54.654800000000002</v>
      </c>
      <c r="F1161" s="74">
        <v>1.7968999999999999</v>
      </c>
      <c r="G1161" s="70">
        <v>5.8327600000000004</v>
      </c>
      <c r="H1161" s="74">
        <v>0.1918</v>
      </c>
    </row>
    <row r="1162" spans="1:8" ht="15.6">
      <c r="A1162" s="468" t="s">
        <v>1590</v>
      </c>
      <c r="B1162" s="67">
        <v>47</v>
      </c>
      <c r="C1162" s="69" t="s">
        <v>59</v>
      </c>
      <c r="D1162" s="71" t="s">
        <v>29</v>
      </c>
      <c r="E1162" s="70">
        <v>58.435279999999999</v>
      </c>
      <c r="F1162" s="74">
        <v>1.9212</v>
      </c>
      <c r="G1162" s="70">
        <v>6.2575399999999997</v>
      </c>
      <c r="H1162" s="74">
        <v>0.20569999999999999</v>
      </c>
    </row>
    <row r="1163" spans="1:8" ht="15.6">
      <c r="A1163" s="468" t="s">
        <v>1591</v>
      </c>
      <c r="B1163" s="67">
        <v>48</v>
      </c>
      <c r="C1163" s="69" t="s">
        <v>59</v>
      </c>
      <c r="D1163" s="71" t="s">
        <v>43</v>
      </c>
      <c r="E1163" s="70">
        <v>54.446440000000003</v>
      </c>
      <c r="F1163" s="74">
        <v>1.79</v>
      </c>
      <c r="G1163" s="70">
        <v>5.8093500000000002</v>
      </c>
      <c r="H1163" s="74">
        <v>0.191</v>
      </c>
    </row>
    <row r="1164" spans="1:8" ht="15.6">
      <c r="A1164" s="468" t="s">
        <v>1592</v>
      </c>
      <c r="B1164" s="67">
        <v>49</v>
      </c>
      <c r="C1164" s="69" t="s">
        <v>59</v>
      </c>
      <c r="D1164" s="71" t="s">
        <v>18</v>
      </c>
      <c r="E1164" s="70">
        <v>55.530799999999999</v>
      </c>
      <c r="F1164" s="74">
        <v>1.8257000000000001</v>
      </c>
      <c r="G1164" s="70">
        <v>5.93119</v>
      </c>
      <c r="H1164" s="74">
        <v>0.19500000000000001</v>
      </c>
    </row>
    <row r="1165" spans="1:8" ht="15.6">
      <c r="A1165" s="468" t="s">
        <v>1593</v>
      </c>
      <c r="B1165" s="67">
        <v>50</v>
      </c>
      <c r="C1165" s="69" t="s">
        <v>59</v>
      </c>
      <c r="D1165" s="71" t="s">
        <v>76</v>
      </c>
      <c r="E1165" s="70">
        <v>54.446440000000003</v>
      </c>
      <c r="F1165" s="74">
        <v>1.79</v>
      </c>
      <c r="G1165" s="70">
        <v>5.8093500000000002</v>
      </c>
      <c r="H1165" s="74">
        <v>0.191</v>
      </c>
    </row>
    <row r="1166" spans="1:8" ht="15.6">
      <c r="A1166" s="468" t="s">
        <v>1594</v>
      </c>
      <c r="B1166" s="67">
        <v>51</v>
      </c>
      <c r="C1166" s="69" t="s">
        <v>59</v>
      </c>
      <c r="D1166" s="71" t="s">
        <v>19</v>
      </c>
      <c r="E1166" s="70">
        <v>57.194279999999999</v>
      </c>
      <c r="F1166" s="74">
        <v>1.8804000000000001</v>
      </c>
      <c r="G1166" s="70">
        <v>6.1180899999999996</v>
      </c>
      <c r="H1166" s="74">
        <v>0.2011</v>
      </c>
    </row>
    <row r="1167" spans="1:8" ht="15.6">
      <c r="A1167" s="468" t="s">
        <v>1595</v>
      </c>
      <c r="B1167" s="67">
        <v>52</v>
      </c>
      <c r="C1167" s="69" t="s">
        <v>59</v>
      </c>
      <c r="D1167" s="71" t="s">
        <v>23</v>
      </c>
      <c r="E1167" s="70">
        <v>59.62762</v>
      </c>
      <c r="F1167" s="74">
        <v>1.9603999999999999</v>
      </c>
      <c r="G1167" s="70">
        <v>6.3914999999999997</v>
      </c>
      <c r="H1167" s="74">
        <v>0.21010000000000001</v>
      </c>
    </row>
    <row r="1168" spans="1:8" ht="15.6">
      <c r="A1168" s="468" t="s">
        <v>1596</v>
      </c>
      <c r="B1168" s="67">
        <v>53</v>
      </c>
      <c r="C1168" s="69" t="s">
        <v>59</v>
      </c>
      <c r="D1168" s="71" t="s">
        <v>20</v>
      </c>
      <c r="E1168" s="70">
        <v>61.231490000000001</v>
      </c>
      <c r="F1168" s="74">
        <v>2.0131000000000001</v>
      </c>
      <c r="G1168" s="70">
        <v>6.5716999999999999</v>
      </c>
      <c r="H1168" s="74">
        <v>0.21609999999999999</v>
      </c>
    </row>
    <row r="1169" spans="1:8" ht="15.6">
      <c r="A1169" s="468" t="s">
        <v>1597</v>
      </c>
      <c r="B1169" s="67">
        <v>54</v>
      </c>
      <c r="C1169" s="69" t="s">
        <v>59</v>
      </c>
      <c r="D1169" s="71" t="s">
        <v>53</v>
      </c>
      <c r="E1169" s="70">
        <v>50.335630000000002</v>
      </c>
      <c r="F1169" s="74">
        <v>1.6549</v>
      </c>
      <c r="G1169" s="70">
        <v>5.3475400000000004</v>
      </c>
      <c r="H1169" s="74">
        <v>0.17580000000000001</v>
      </c>
    </row>
    <row r="1170" spans="1:8" ht="15.6">
      <c r="A1170" s="468" t="s">
        <v>1598</v>
      </c>
      <c r="B1170" s="67">
        <v>55</v>
      </c>
      <c r="C1170" s="69" t="s">
        <v>59</v>
      </c>
      <c r="D1170" s="71" t="s">
        <v>41</v>
      </c>
      <c r="E1170" s="70">
        <v>50.270539999999997</v>
      </c>
      <c r="F1170" s="74">
        <v>1.6527000000000001</v>
      </c>
      <c r="G1170" s="70">
        <v>5.3402099999999999</v>
      </c>
      <c r="H1170" s="74">
        <v>0.17560000000000001</v>
      </c>
    </row>
    <row r="1171" spans="1:8" ht="15.6">
      <c r="A1171" s="468" t="s">
        <v>1599</v>
      </c>
      <c r="B1171" s="67">
        <v>56</v>
      </c>
      <c r="C1171" s="69" t="s">
        <v>59</v>
      </c>
      <c r="D1171" s="71" t="s">
        <v>36</v>
      </c>
      <c r="E1171" s="70">
        <v>55.814889999999998</v>
      </c>
      <c r="F1171" s="74">
        <v>1.835</v>
      </c>
      <c r="G1171" s="70">
        <v>5.9631499999999997</v>
      </c>
      <c r="H1171" s="74">
        <v>0.1961</v>
      </c>
    </row>
    <row r="1172" spans="1:8" ht="15.6">
      <c r="A1172" s="468" t="s">
        <v>1600</v>
      </c>
      <c r="B1172" s="67">
        <v>57</v>
      </c>
      <c r="C1172" s="69" t="s">
        <v>59</v>
      </c>
      <c r="D1172" s="71" t="s">
        <v>15</v>
      </c>
      <c r="E1172" s="70">
        <v>58.16883</v>
      </c>
      <c r="F1172" s="74">
        <v>1.9124000000000001</v>
      </c>
      <c r="G1172" s="70">
        <v>6.2276199999999999</v>
      </c>
      <c r="H1172" s="74">
        <v>0.20469999999999999</v>
      </c>
    </row>
    <row r="1173" spans="1:8" ht="15.6">
      <c r="A1173" s="468" t="s">
        <v>1601</v>
      </c>
      <c r="B1173" s="67">
        <v>58</v>
      </c>
      <c r="C1173" s="69" t="s">
        <v>59</v>
      </c>
      <c r="D1173" s="71" t="s">
        <v>16</v>
      </c>
      <c r="E1173" s="70">
        <v>64.622950000000003</v>
      </c>
      <c r="F1173" s="74">
        <v>2.1246</v>
      </c>
      <c r="G1173" s="70">
        <v>6.95268</v>
      </c>
      <c r="H1173" s="74">
        <v>0.2286</v>
      </c>
    </row>
    <row r="1174" spans="1:8" ht="15.6">
      <c r="A1174" s="468" t="s">
        <v>1602</v>
      </c>
      <c r="B1174" s="67">
        <v>59</v>
      </c>
      <c r="C1174" s="69" t="s">
        <v>59</v>
      </c>
      <c r="D1174" s="71" t="s">
        <v>17</v>
      </c>
      <c r="E1174" s="70">
        <v>20.04975</v>
      </c>
      <c r="F1174" s="74">
        <v>0.65920000000000001</v>
      </c>
      <c r="G1174" s="70">
        <v>2.1110500000000001</v>
      </c>
      <c r="H1174" s="74">
        <v>6.9400000000000003E-2</v>
      </c>
    </row>
    <row r="1175" spans="1:8" ht="15.6">
      <c r="A1175" s="468" t="s">
        <v>1603</v>
      </c>
      <c r="B1175" s="67">
        <v>60</v>
      </c>
      <c r="C1175" s="69" t="s">
        <v>59</v>
      </c>
      <c r="D1175" s="71" t="s">
        <v>10</v>
      </c>
      <c r="E1175" s="70">
        <v>20.04975</v>
      </c>
      <c r="F1175" s="74">
        <v>0.65920000000000001</v>
      </c>
      <c r="G1175" s="70">
        <v>2.1110500000000001</v>
      </c>
      <c r="H1175" s="74">
        <v>6.9400000000000003E-2</v>
      </c>
    </row>
    <row r="1176" spans="1:8" ht="15.6">
      <c r="A1176" s="468" t="s">
        <v>1604</v>
      </c>
      <c r="B1176" s="67">
        <v>61</v>
      </c>
      <c r="C1176" s="69" t="s">
        <v>59</v>
      </c>
      <c r="D1176" s="71" t="s">
        <v>22</v>
      </c>
      <c r="E1176" s="70">
        <v>57.566890000000001</v>
      </c>
      <c r="F1176" s="74">
        <v>1.8926000000000001</v>
      </c>
      <c r="G1176" s="70">
        <v>6.1599599999999999</v>
      </c>
      <c r="H1176" s="74">
        <v>0.20250000000000001</v>
      </c>
    </row>
    <row r="1177" spans="1:8" ht="15.6">
      <c r="A1177" s="468" t="s">
        <v>1605</v>
      </c>
      <c r="B1177" s="67">
        <v>62</v>
      </c>
      <c r="C1177" s="69" t="s">
        <v>59</v>
      </c>
      <c r="D1177" s="71" t="s">
        <v>35</v>
      </c>
      <c r="E1177" s="70">
        <v>53.754159999999999</v>
      </c>
      <c r="F1177" s="74">
        <v>1.7673000000000001</v>
      </c>
      <c r="G1177" s="70">
        <v>5.7315699999999996</v>
      </c>
      <c r="H1177" s="74">
        <v>0.18840000000000001</v>
      </c>
    </row>
    <row r="1178" spans="1:8" ht="15.6">
      <c r="A1178" s="468" t="s">
        <v>1606</v>
      </c>
      <c r="B1178" s="67">
        <v>63</v>
      </c>
      <c r="C1178" s="69" t="s">
        <v>59</v>
      </c>
      <c r="D1178" s="71" t="s">
        <v>24</v>
      </c>
      <c r="E1178" s="70">
        <v>60.952570000000001</v>
      </c>
      <c r="F1178" s="74">
        <v>2.0038999999999998</v>
      </c>
      <c r="G1178" s="70">
        <v>6.5403500000000001</v>
      </c>
      <c r="H1178" s="74">
        <v>0.215</v>
      </c>
    </row>
    <row r="1179" spans="1:8" ht="15.6">
      <c r="A1179" s="468" t="s">
        <v>1607</v>
      </c>
      <c r="B1179" s="67">
        <v>64</v>
      </c>
      <c r="C1179" s="69" t="s">
        <v>59</v>
      </c>
      <c r="D1179" s="71" t="s">
        <v>37</v>
      </c>
      <c r="E1179" s="70">
        <v>55.771700000000003</v>
      </c>
      <c r="F1179" s="74">
        <v>1.8335999999999999</v>
      </c>
      <c r="G1179" s="70">
        <v>5.9582899999999999</v>
      </c>
      <c r="H1179" s="74">
        <v>0.19589999999999999</v>
      </c>
    </row>
    <row r="1180" spans="1:8" ht="15.6">
      <c r="A1180" s="468" t="s">
        <v>1608</v>
      </c>
      <c r="B1180" s="67">
        <v>65</v>
      </c>
      <c r="C1180" s="69" t="s">
        <v>59</v>
      </c>
      <c r="D1180" s="71" t="s">
        <v>38</v>
      </c>
      <c r="E1180" s="70">
        <v>46.342230000000001</v>
      </c>
      <c r="F1180" s="74">
        <v>1.5236000000000001</v>
      </c>
      <c r="G1180" s="70">
        <v>5.2829499999999996</v>
      </c>
      <c r="H1180" s="74">
        <v>0.17369999999999999</v>
      </c>
    </row>
    <row r="1181" spans="1:8" ht="15.6">
      <c r="A1181" s="468" t="s">
        <v>1609</v>
      </c>
      <c r="B1181" s="67">
        <v>66</v>
      </c>
      <c r="C1181" s="69" t="s">
        <v>59</v>
      </c>
      <c r="D1181" s="71" t="s">
        <v>26</v>
      </c>
      <c r="E1181" s="70">
        <v>61.269199999999998</v>
      </c>
      <c r="F1181" s="74">
        <v>2.0143</v>
      </c>
      <c r="G1181" s="70">
        <v>6.5758900000000002</v>
      </c>
      <c r="H1181" s="74">
        <v>0.2162</v>
      </c>
    </row>
    <row r="1182" spans="1:8" ht="15.6">
      <c r="A1182" s="468" t="s">
        <v>1610</v>
      </c>
      <c r="B1182" s="67">
        <v>67</v>
      </c>
      <c r="C1182" s="69" t="s">
        <v>59</v>
      </c>
      <c r="D1182" s="71" t="s">
        <v>52</v>
      </c>
      <c r="E1182" s="70">
        <v>19.693269999999998</v>
      </c>
      <c r="F1182" s="74">
        <v>0.64749999999999996</v>
      </c>
      <c r="G1182" s="70">
        <v>2.0680800000000001</v>
      </c>
      <c r="H1182" s="74">
        <v>6.8000000000000005E-2</v>
      </c>
    </row>
    <row r="1183" spans="1:8" ht="15.6">
      <c r="A1183" s="468" t="s">
        <v>1611</v>
      </c>
      <c r="B1183" s="67">
        <v>68</v>
      </c>
      <c r="C1183" s="69" t="s">
        <v>59</v>
      </c>
      <c r="D1183" s="71" t="s">
        <v>40</v>
      </c>
      <c r="E1183" s="70">
        <v>46.475450000000002</v>
      </c>
      <c r="F1183" s="74">
        <v>1.528</v>
      </c>
      <c r="G1183" s="70">
        <v>5.2990300000000001</v>
      </c>
      <c r="H1183" s="74">
        <v>0.17419999999999999</v>
      </c>
    </row>
    <row r="1184" spans="1:8" ht="15.6">
      <c r="A1184" s="468" t="s">
        <v>1612</v>
      </c>
      <c r="B1184" s="67">
        <v>69</v>
      </c>
      <c r="C1184" s="69" t="s">
        <v>59</v>
      </c>
      <c r="D1184" s="71" t="s">
        <v>34</v>
      </c>
      <c r="E1184" s="70">
        <v>13.101979999999999</v>
      </c>
      <c r="F1184" s="74">
        <v>0.43080000000000002</v>
      </c>
      <c r="G1184" s="70">
        <v>1.27294</v>
      </c>
      <c r="H1184" s="74">
        <v>4.19E-2</v>
      </c>
    </row>
    <row r="1185" spans="1:8" ht="15.6">
      <c r="A1185" s="468" t="s">
        <v>1613</v>
      </c>
      <c r="B1185" s="67">
        <v>70</v>
      </c>
      <c r="C1185" s="69" t="s">
        <v>59</v>
      </c>
      <c r="D1185" s="71" t="s">
        <v>54</v>
      </c>
      <c r="E1185" s="70">
        <v>50.335630000000002</v>
      </c>
      <c r="F1185" s="74">
        <v>1.6549</v>
      </c>
      <c r="G1185" s="70">
        <v>5.3475400000000004</v>
      </c>
      <c r="H1185" s="74">
        <v>0.17580000000000001</v>
      </c>
    </row>
    <row r="1186" spans="1:8" ht="15.6">
      <c r="A1186" s="468" t="s">
        <v>1614</v>
      </c>
      <c r="B1186" s="67">
        <v>71</v>
      </c>
      <c r="C1186" s="69" t="s">
        <v>60</v>
      </c>
      <c r="D1186" s="71" t="s">
        <v>12</v>
      </c>
      <c r="E1186" s="70">
        <v>82.190399999999997</v>
      </c>
      <c r="F1186" s="74">
        <v>2.7021999999999999</v>
      </c>
      <c r="G1186" s="70">
        <v>6.6115599999999999</v>
      </c>
      <c r="H1186" s="74">
        <v>0.21740000000000001</v>
      </c>
    </row>
    <row r="1187" spans="1:8" ht="15.6">
      <c r="A1187" s="468" t="s">
        <v>1615</v>
      </c>
      <c r="B1187" s="67">
        <v>72</v>
      </c>
      <c r="C1187" s="69" t="s">
        <v>60</v>
      </c>
      <c r="D1187" s="71" t="s">
        <v>51</v>
      </c>
      <c r="E1187" s="70">
        <v>71.701509999999999</v>
      </c>
      <c r="F1187" s="74">
        <v>2.3573</v>
      </c>
      <c r="G1187" s="70">
        <v>5.7285399999999997</v>
      </c>
      <c r="H1187" s="74">
        <v>0.1883</v>
      </c>
    </row>
    <row r="1188" spans="1:8" ht="15.6">
      <c r="A1188" s="468" t="s">
        <v>1616</v>
      </c>
      <c r="B1188" s="67">
        <v>73</v>
      </c>
      <c r="C1188" s="69" t="s">
        <v>60</v>
      </c>
      <c r="D1188" s="71" t="s">
        <v>13</v>
      </c>
      <c r="E1188" s="70">
        <v>67.403639999999996</v>
      </c>
      <c r="F1188" s="74">
        <v>2.2160000000000002</v>
      </c>
      <c r="G1188" s="70">
        <v>5.3667299999999996</v>
      </c>
      <c r="H1188" s="74">
        <v>0.1764</v>
      </c>
    </row>
    <row r="1189" spans="1:8" ht="15.6">
      <c r="A1189" s="468" t="s">
        <v>1617</v>
      </c>
      <c r="B1189" s="67">
        <v>74</v>
      </c>
      <c r="C1189" s="69" t="s">
        <v>60</v>
      </c>
      <c r="D1189" s="71" t="s">
        <v>9</v>
      </c>
      <c r="E1189" s="70">
        <v>60.940399999999997</v>
      </c>
      <c r="F1189" s="74">
        <v>2.0034999999999998</v>
      </c>
      <c r="G1189" s="70">
        <v>4.8226100000000001</v>
      </c>
      <c r="H1189" s="74">
        <v>0.15859999999999999</v>
      </c>
    </row>
    <row r="1190" spans="1:8" ht="15.6">
      <c r="A1190" s="468" t="s">
        <v>1618</v>
      </c>
      <c r="B1190" s="67">
        <v>75</v>
      </c>
      <c r="C1190" s="69" t="s">
        <v>60</v>
      </c>
      <c r="D1190" s="71" t="s">
        <v>14</v>
      </c>
      <c r="E1190" s="70">
        <v>57.958350000000003</v>
      </c>
      <c r="F1190" s="74">
        <v>1.9055</v>
      </c>
      <c r="G1190" s="70">
        <v>4.5715700000000004</v>
      </c>
      <c r="H1190" s="74">
        <v>0.15029999999999999</v>
      </c>
    </row>
    <row r="1191" spans="1:8" ht="15.6">
      <c r="A1191" s="468" t="s">
        <v>1619</v>
      </c>
      <c r="B1191" s="67">
        <v>76</v>
      </c>
      <c r="C1191" s="69" t="s">
        <v>60</v>
      </c>
      <c r="D1191" s="71" t="s">
        <v>33</v>
      </c>
      <c r="E1191" s="70">
        <v>46.75468</v>
      </c>
      <c r="F1191" s="74">
        <v>1.5370999999999999</v>
      </c>
      <c r="G1191" s="70">
        <v>3.6283799999999999</v>
      </c>
      <c r="H1191" s="74">
        <v>0.1193</v>
      </c>
    </row>
    <row r="1192" spans="1:8" ht="15.6">
      <c r="A1192" s="468" t="s">
        <v>1620</v>
      </c>
      <c r="B1192" s="67">
        <v>77</v>
      </c>
      <c r="C1192" s="69" t="s">
        <v>60</v>
      </c>
      <c r="D1192" s="71" t="s">
        <v>25</v>
      </c>
      <c r="E1192" s="70">
        <v>42.154760000000003</v>
      </c>
      <c r="F1192" s="74">
        <v>1.3858999999999999</v>
      </c>
      <c r="G1192" s="70">
        <v>3.2411500000000002</v>
      </c>
      <c r="H1192" s="74">
        <v>0.1066</v>
      </c>
    </row>
    <row r="1193" spans="1:8" ht="15.6">
      <c r="A1193" s="468" t="s">
        <v>1621</v>
      </c>
      <c r="B1193" s="67">
        <v>1</v>
      </c>
      <c r="C1193" s="69" t="s">
        <v>60</v>
      </c>
      <c r="D1193" s="71" t="s">
        <v>31</v>
      </c>
      <c r="E1193" s="70">
        <v>23.981719999999999</v>
      </c>
      <c r="F1193" s="74">
        <v>0.78839999999999999</v>
      </c>
      <c r="G1193" s="70">
        <v>1.7112400000000001</v>
      </c>
      <c r="H1193" s="74">
        <v>5.6300000000000003E-2</v>
      </c>
    </row>
    <row r="1194" spans="1:8" ht="15.6">
      <c r="A1194" s="468" t="s">
        <v>1622</v>
      </c>
      <c r="B1194" s="67">
        <v>2</v>
      </c>
      <c r="C1194" s="69" t="s">
        <v>60</v>
      </c>
      <c r="D1194" s="71" t="s">
        <v>45</v>
      </c>
      <c r="E1194" s="70">
        <v>34.157919999999997</v>
      </c>
      <c r="F1194" s="74">
        <v>1.123</v>
      </c>
      <c r="G1194" s="70">
        <v>2.56793</v>
      </c>
      <c r="H1194" s="74">
        <v>8.4400000000000003E-2</v>
      </c>
    </row>
    <row r="1195" spans="1:8" ht="15.6">
      <c r="A1195" s="468" t="s">
        <v>1623</v>
      </c>
      <c r="B1195" s="67">
        <v>3</v>
      </c>
      <c r="C1195" s="69" t="s">
        <v>60</v>
      </c>
      <c r="D1195" s="71" t="s">
        <v>27</v>
      </c>
      <c r="E1195" s="70">
        <v>27.861969999999999</v>
      </c>
      <c r="F1195" s="74">
        <v>0.91600000000000004</v>
      </c>
      <c r="G1195" s="70">
        <v>2.03789</v>
      </c>
      <c r="H1195" s="74">
        <v>6.7000000000000004E-2</v>
      </c>
    </row>
    <row r="1196" spans="1:8" ht="15.6">
      <c r="A1196" s="468" t="s">
        <v>1624</v>
      </c>
      <c r="B1196" s="67">
        <v>4</v>
      </c>
      <c r="C1196" s="69" t="s">
        <v>60</v>
      </c>
      <c r="D1196" s="71" t="s">
        <v>21</v>
      </c>
      <c r="E1196" s="70">
        <v>23.182980000000001</v>
      </c>
      <c r="F1196" s="74">
        <v>0.76219999999999999</v>
      </c>
      <c r="G1196" s="70">
        <v>1.64401</v>
      </c>
      <c r="H1196" s="74">
        <v>5.4100000000000002E-2</v>
      </c>
    </row>
    <row r="1197" spans="1:8" ht="15.6">
      <c r="A1197" s="468" t="s">
        <v>1625</v>
      </c>
      <c r="B1197" s="67">
        <v>5</v>
      </c>
      <c r="C1197" s="69" t="s">
        <v>60</v>
      </c>
      <c r="D1197" s="71" t="s">
        <v>32</v>
      </c>
      <c r="E1197" s="70">
        <v>40.094340000000003</v>
      </c>
      <c r="F1197" s="74">
        <v>1.3182</v>
      </c>
      <c r="G1197" s="70">
        <v>3.0676700000000001</v>
      </c>
      <c r="H1197" s="74">
        <v>0.1009</v>
      </c>
    </row>
    <row r="1198" spans="1:8" ht="15.6">
      <c r="A1198" s="468" t="s">
        <v>1626</v>
      </c>
      <c r="B1198" s="67">
        <v>6</v>
      </c>
      <c r="C1198" s="69" t="s">
        <v>60</v>
      </c>
      <c r="D1198" s="71" t="s">
        <v>30</v>
      </c>
      <c r="E1198" s="70">
        <v>21.796279999999999</v>
      </c>
      <c r="F1198" s="74">
        <v>0.71660000000000001</v>
      </c>
      <c r="G1198" s="70">
        <v>1.52725</v>
      </c>
      <c r="H1198" s="74">
        <v>5.0200000000000002E-2</v>
      </c>
    </row>
    <row r="1199" spans="1:8" ht="15.6">
      <c r="A1199" s="468" t="s">
        <v>1627</v>
      </c>
      <c r="B1199" s="67">
        <v>7</v>
      </c>
      <c r="C1199" s="69" t="s">
        <v>60</v>
      </c>
      <c r="D1199" s="71" t="s">
        <v>28</v>
      </c>
      <c r="E1199" s="70">
        <v>21.370450000000002</v>
      </c>
      <c r="F1199" s="74">
        <v>0.7026</v>
      </c>
      <c r="G1199" s="70">
        <v>1.49143</v>
      </c>
      <c r="H1199" s="74">
        <v>4.9000000000000002E-2</v>
      </c>
    </row>
    <row r="1200" spans="1:8" ht="15.6">
      <c r="A1200" s="468" t="s">
        <v>1628</v>
      </c>
      <c r="B1200" s="67">
        <v>8</v>
      </c>
      <c r="C1200" s="69" t="s">
        <v>60</v>
      </c>
      <c r="D1200" s="71" t="s">
        <v>79</v>
      </c>
      <c r="E1200" s="70">
        <v>20.173850000000002</v>
      </c>
      <c r="F1200" s="74">
        <v>0.6633</v>
      </c>
      <c r="G1200" s="70">
        <v>1.3906700000000001</v>
      </c>
      <c r="H1200" s="74">
        <v>4.5699999999999998E-2</v>
      </c>
    </row>
    <row r="1201" spans="1:8" ht="15.6">
      <c r="A1201" s="468" t="s">
        <v>1629</v>
      </c>
      <c r="B1201" s="67">
        <v>9</v>
      </c>
      <c r="C1201" s="69" t="s">
        <v>60</v>
      </c>
      <c r="D1201" s="71" t="s">
        <v>29</v>
      </c>
      <c r="E1201" s="70">
        <v>12.13716</v>
      </c>
      <c r="F1201" s="74">
        <v>0.39900000000000002</v>
      </c>
      <c r="G1201" s="70">
        <v>0.71409</v>
      </c>
      <c r="H1201" s="74">
        <v>2.35E-2</v>
      </c>
    </row>
    <row r="1202" spans="1:8" ht="15.6">
      <c r="A1202" s="468" t="s">
        <v>1630</v>
      </c>
      <c r="B1202" s="67">
        <v>10</v>
      </c>
      <c r="C1202" s="69" t="s">
        <v>60</v>
      </c>
      <c r="D1202" s="71" t="s">
        <v>43</v>
      </c>
      <c r="E1202" s="70">
        <v>19.895240000000001</v>
      </c>
      <c r="F1202" s="74">
        <v>0.65410000000000001</v>
      </c>
      <c r="G1202" s="70">
        <v>1.3672200000000001</v>
      </c>
      <c r="H1202" s="74">
        <v>4.4999999999999998E-2</v>
      </c>
    </row>
    <row r="1203" spans="1:8" ht="15.6">
      <c r="A1203" s="468" t="s">
        <v>1631</v>
      </c>
      <c r="B1203" s="67">
        <v>11</v>
      </c>
      <c r="C1203" s="69" t="s">
        <v>60</v>
      </c>
      <c r="D1203" s="71" t="s">
        <v>18</v>
      </c>
      <c r="E1203" s="70">
        <v>19.179839999999999</v>
      </c>
      <c r="F1203" s="74">
        <v>0.63060000000000005</v>
      </c>
      <c r="G1203" s="70">
        <v>1.30701</v>
      </c>
      <c r="H1203" s="74">
        <v>4.2999999999999997E-2</v>
      </c>
    </row>
    <row r="1204" spans="1:8" ht="15.6">
      <c r="A1204" s="468" t="s">
        <v>1632</v>
      </c>
      <c r="B1204" s="67">
        <v>12</v>
      </c>
      <c r="C1204" s="69" t="s">
        <v>60</v>
      </c>
      <c r="D1204" s="71" t="s">
        <v>76</v>
      </c>
      <c r="E1204" s="70">
        <v>19.895240000000001</v>
      </c>
      <c r="F1204" s="74">
        <v>0.65410000000000001</v>
      </c>
      <c r="G1204" s="70">
        <v>1.3672200000000001</v>
      </c>
      <c r="H1204" s="74">
        <v>4.4999999999999998E-2</v>
      </c>
    </row>
    <row r="1205" spans="1:8" ht="15.6">
      <c r="A1205" s="468" t="s">
        <v>1633</v>
      </c>
      <c r="B1205" s="67">
        <v>13</v>
      </c>
      <c r="C1205" s="69" t="s">
        <v>60</v>
      </c>
      <c r="D1205" s="71" t="s">
        <v>19</v>
      </c>
      <c r="E1205" s="70">
        <v>11.55742</v>
      </c>
      <c r="F1205" s="74">
        <v>0.38</v>
      </c>
      <c r="G1205" s="70">
        <v>0.6653</v>
      </c>
      <c r="H1205" s="74">
        <v>2.1899999999999999E-2</v>
      </c>
    </row>
    <row r="1206" spans="1:8" ht="15.6">
      <c r="A1206" s="468" t="s">
        <v>1634</v>
      </c>
      <c r="B1206" s="67">
        <v>14</v>
      </c>
      <c r="C1206" s="69" t="s">
        <v>60</v>
      </c>
      <c r="D1206" s="71" t="s">
        <v>23</v>
      </c>
      <c r="E1206" s="70">
        <v>12.547180000000001</v>
      </c>
      <c r="F1206" s="74">
        <v>0.41249999999999998</v>
      </c>
      <c r="G1206" s="70">
        <v>0.74861999999999995</v>
      </c>
      <c r="H1206" s="74">
        <v>2.46E-2</v>
      </c>
    </row>
    <row r="1207" spans="1:8" ht="15.6">
      <c r="A1207" s="468" t="s">
        <v>1635</v>
      </c>
      <c r="B1207" s="67">
        <v>15</v>
      </c>
      <c r="C1207" s="69" t="s">
        <v>60</v>
      </c>
      <c r="D1207" s="71" t="s">
        <v>20</v>
      </c>
      <c r="E1207" s="70">
        <v>7.1098999999999997</v>
      </c>
      <c r="F1207" s="74">
        <v>0.23380000000000001</v>
      </c>
      <c r="G1207" s="70">
        <v>0.29087000000000002</v>
      </c>
      <c r="H1207" s="74">
        <v>9.5999999999999992E-3</v>
      </c>
    </row>
    <row r="1208" spans="1:8" ht="15.6">
      <c r="A1208" s="468" t="s">
        <v>1636</v>
      </c>
      <c r="B1208" s="67">
        <v>16</v>
      </c>
      <c r="C1208" s="69" t="s">
        <v>60</v>
      </c>
      <c r="D1208" s="71" t="s">
        <v>53</v>
      </c>
      <c r="E1208" s="70">
        <v>25.38119</v>
      </c>
      <c r="F1208" s="74">
        <v>0.83450000000000002</v>
      </c>
      <c r="G1208" s="70">
        <v>1.8290299999999999</v>
      </c>
      <c r="H1208" s="74">
        <v>6.0100000000000001E-2</v>
      </c>
    </row>
    <row r="1209" spans="1:8" ht="15.6">
      <c r="A1209" s="468" t="s">
        <v>1637</v>
      </c>
      <c r="B1209" s="67">
        <v>17</v>
      </c>
      <c r="C1209" s="69" t="s">
        <v>60</v>
      </c>
      <c r="D1209" s="71" t="s">
        <v>41</v>
      </c>
      <c r="E1209" s="70">
        <v>25.467569999999998</v>
      </c>
      <c r="F1209" s="74">
        <v>0.83730000000000004</v>
      </c>
      <c r="G1209" s="70">
        <v>1.8363400000000001</v>
      </c>
      <c r="H1209" s="74">
        <v>6.0400000000000002E-2</v>
      </c>
    </row>
    <row r="1210" spans="1:8" ht="15.6">
      <c r="A1210" s="468" t="s">
        <v>1638</v>
      </c>
      <c r="B1210" s="67">
        <v>18</v>
      </c>
      <c r="C1210" s="69" t="s">
        <v>60</v>
      </c>
      <c r="D1210" s="71" t="s">
        <v>36</v>
      </c>
      <c r="E1210" s="70">
        <v>23.16168</v>
      </c>
      <c r="F1210" s="74">
        <v>0.76149999999999995</v>
      </c>
      <c r="G1210" s="70">
        <v>1.64222</v>
      </c>
      <c r="H1210" s="74">
        <v>5.3999999999999999E-2</v>
      </c>
    </row>
    <row r="1211" spans="1:8" ht="15.6">
      <c r="A1211" s="468" t="s">
        <v>1639</v>
      </c>
      <c r="B1211" s="67">
        <v>19</v>
      </c>
      <c r="C1211" s="69" t="s">
        <v>60</v>
      </c>
      <c r="D1211" s="71" t="s">
        <v>15</v>
      </c>
      <c r="E1211" s="70">
        <v>8.5492100000000004</v>
      </c>
      <c r="F1211" s="74">
        <v>0.28110000000000002</v>
      </c>
      <c r="G1211" s="70">
        <v>0.41203000000000001</v>
      </c>
      <c r="H1211" s="74">
        <v>1.3599999999999999E-2</v>
      </c>
    </row>
    <row r="1212" spans="1:8" ht="15.6">
      <c r="A1212" s="468" t="s">
        <v>1640</v>
      </c>
      <c r="B1212" s="67">
        <v>20</v>
      </c>
      <c r="C1212" s="69" t="s">
        <v>60</v>
      </c>
      <c r="D1212" s="71" t="s">
        <v>16</v>
      </c>
      <c r="E1212" s="70">
        <v>10.43444</v>
      </c>
      <c r="F1212" s="74">
        <v>0.34310000000000002</v>
      </c>
      <c r="G1212" s="70">
        <v>0.57074999999999998</v>
      </c>
      <c r="H1212" s="74">
        <v>1.8800000000000001E-2</v>
      </c>
    </row>
    <row r="1213" spans="1:8" ht="15.6">
      <c r="A1213" s="468" t="s">
        <v>1641</v>
      </c>
      <c r="B1213" s="67">
        <v>21</v>
      </c>
      <c r="C1213" s="69" t="s">
        <v>60</v>
      </c>
      <c r="D1213" s="71" t="s">
        <v>17</v>
      </c>
      <c r="E1213" s="70">
        <v>61.389650000000003</v>
      </c>
      <c r="F1213" s="74">
        <v>2.0183</v>
      </c>
      <c r="G1213" s="70">
        <v>4.8604200000000004</v>
      </c>
      <c r="H1213" s="74">
        <v>0.1598</v>
      </c>
    </row>
    <row r="1214" spans="1:8" ht="15.6">
      <c r="A1214" s="468" t="s">
        <v>1642</v>
      </c>
      <c r="B1214" s="67">
        <v>22</v>
      </c>
      <c r="C1214" s="69" t="s">
        <v>60</v>
      </c>
      <c r="D1214" s="71" t="s">
        <v>10</v>
      </c>
      <c r="E1214" s="70">
        <v>61.389650000000003</v>
      </c>
      <c r="F1214" s="74">
        <v>2.0183</v>
      </c>
      <c r="G1214" s="70">
        <v>4.8604200000000004</v>
      </c>
      <c r="H1214" s="74">
        <v>0.1598</v>
      </c>
    </row>
    <row r="1215" spans="1:8" ht="15.6">
      <c r="A1215" s="468" t="s">
        <v>1643</v>
      </c>
      <c r="B1215" s="67">
        <v>23</v>
      </c>
      <c r="C1215" s="69" t="s">
        <v>60</v>
      </c>
      <c r="D1215" s="71" t="s">
        <v>22</v>
      </c>
      <c r="E1215" s="70">
        <v>9.7972099999999998</v>
      </c>
      <c r="F1215" s="74">
        <v>0.3221</v>
      </c>
      <c r="G1215" s="70">
        <v>0.51707999999999998</v>
      </c>
      <c r="H1215" s="74">
        <v>1.7000000000000001E-2</v>
      </c>
    </row>
    <row r="1216" spans="1:8" ht="15.6">
      <c r="A1216" s="468" t="s">
        <v>1644</v>
      </c>
      <c r="B1216" s="67">
        <v>24</v>
      </c>
      <c r="C1216" s="69" t="s">
        <v>60</v>
      </c>
      <c r="D1216" s="71" t="s">
        <v>35</v>
      </c>
      <c r="E1216" s="70">
        <v>20.819299999999998</v>
      </c>
      <c r="F1216" s="74">
        <v>0.6845</v>
      </c>
      <c r="G1216" s="70">
        <v>1.4450000000000001</v>
      </c>
      <c r="H1216" s="74">
        <v>4.7500000000000001E-2</v>
      </c>
    </row>
    <row r="1217" spans="1:8" ht="15.6">
      <c r="A1217" s="468" t="s">
        <v>1645</v>
      </c>
      <c r="B1217" s="67">
        <v>25</v>
      </c>
      <c r="C1217" s="69" t="s">
        <v>60</v>
      </c>
      <c r="D1217" s="71" t="s">
        <v>24</v>
      </c>
      <c r="E1217" s="70">
        <v>9.3418700000000001</v>
      </c>
      <c r="F1217" s="74">
        <v>0.30709999999999998</v>
      </c>
      <c r="G1217" s="70">
        <v>0.47876999999999997</v>
      </c>
      <c r="H1217" s="74">
        <v>1.5699999999999999E-2</v>
      </c>
    </row>
    <row r="1218" spans="1:8" ht="15.6">
      <c r="A1218" s="468" t="s">
        <v>1646</v>
      </c>
      <c r="B1218" s="67">
        <v>26</v>
      </c>
      <c r="C1218" s="69" t="s">
        <v>60</v>
      </c>
      <c r="D1218" s="71" t="s">
        <v>37</v>
      </c>
      <c r="E1218" s="70">
        <v>23.10389</v>
      </c>
      <c r="F1218" s="74">
        <v>0.75960000000000005</v>
      </c>
      <c r="G1218" s="70">
        <v>1.6373500000000001</v>
      </c>
      <c r="H1218" s="74">
        <v>5.3800000000000001E-2</v>
      </c>
    </row>
    <row r="1219" spans="1:8" ht="15.6">
      <c r="A1219" s="468" t="s">
        <v>1647</v>
      </c>
      <c r="B1219" s="67">
        <v>27</v>
      </c>
      <c r="C1219" s="69" t="s">
        <v>60</v>
      </c>
      <c r="D1219" s="71" t="s">
        <v>38</v>
      </c>
      <c r="E1219" s="70">
        <v>19.770530000000001</v>
      </c>
      <c r="F1219" s="74">
        <v>0.65</v>
      </c>
      <c r="G1219" s="70">
        <v>1.3567199999999999</v>
      </c>
      <c r="H1219" s="74">
        <v>4.4600000000000001E-2</v>
      </c>
    </row>
    <row r="1220" spans="1:8" ht="15.6">
      <c r="A1220" s="468" t="s">
        <v>1648</v>
      </c>
      <c r="B1220" s="67">
        <v>28</v>
      </c>
      <c r="C1220" s="69" t="s">
        <v>60</v>
      </c>
      <c r="D1220" s="71" t="s">
        <v>26</v>
      </c>
      <c r="E1220" s="70">
        <v>9.7640499999999992</v>
      </c>
      <c r="F1220" s="74">
        <v>0.32100000000000001</v>
      </c>
      <c r="G1220" s="70">
        <v>0.51431000000000004</v>
      </c>
      <c r="H1220" s="74">
        <v>1.6899999999999998E-2</v>
      </c>
    </row>
    <row r="1221" spans="1:8" ht="15.6">
      <c r="A1221" s="468" t="s">
        <v>1649</v>
      </c>
      <c r="B1221" s="67">
        <v>29</v>
      </c>
      <c r="C1221" s="69" t="s">
        <v>60</v>
      </c>
      <c r="D1221" s="71" t="s">
        <v>52</v>
      </c>
      <c r="E1221" s="70">
        <v>57.958350000000003</v>
      </c>
      <c r="F1221" s="74">
        <v>1.9055</v>
      </c>
      <c r="G1221" s="70">
        <v>4.5715700000000004</v>
      </c>
      <c r="H1221" s="74">
        <v>0.15029999999999999</v>
      </c>
    </row>
    <row r="1222" spans="1:8" ht="15.6">
      <c r="A1222" s="468" t="s">
        <v>1650</v>
      </c>
      <c r="B1222" s="67">
        <v>30</v>
      </c>
      <c r="C1222" s="69" t="s">
        <v>60</v>
      </c>
      <c r="D1222" s="71" t="s">
        <v>40</v>
      </c>
      <c r="E1222" s="70">
        <v>25.956980000000001</v>
      </c>
      <c r="F1222" s="74">
        <v>0.85340000000000005</v>
      </c>
      <c r="G1222" s="70">
        <v>1.87754</v>
      </c>
      <c r="H1222" s="74">
        <v>6.1699999999999998E-2</v>
      </c>
    </row>
    <row r="1223" spans="1:8" ht="15.6">
      <c r="A1223" s="468" t="s">
        <v>1651</v>
      </c>
      <c r="B1223" s="67">
        <v>31</v>
      </c>
      <c r="C1223" s="69" t="s">
        <v>60</v>
      </c>
      <c r="D1223" s="71" t="s">
        <v>34</v>
      </c>
      <c r="E1223" s="70">
        <v>67.403639999999996</v>
      </c>
      <c r="F1223" s="74">
        <v>2.2160000000000002</v>
      </c>
      <c r="G1223" s="70">
        <v>5.3667299999999996</v>
      </c>
      <c r="H1223" s="74">
        <v>0.1764</v>
      </c>
    </row>
    <row r="1224" spans="1:8" ht="15.6">
      <c r="A1224" s="468" t="s">
        <v>1652</v>
      </c>
      <c r="B1224" s="67">
        <v>32</v>
      </c>
      <c r="C1224" s="69" t="s">
        <v>60</v>
      </c>
      <c r="D1224" s="71" t="s">
        <v>54</v>
      </c>
      <c r="E1224" s="70">
        <v>25.38119</v>
      </c>
      <c r="F1224" s="74">
        <v>0.83450000000000002</v>
      </c>
      <c r="G1224" s="70">
        <v>1.8290299999999999</v>
      </c>
      <c r="H1224" s="74">
        <v>6.0100000000000001E-2</v>
      </c>
    </row>
    <row r="1225" spans="1:8" ht="15.6">
      <c r="A1225" s="468" t="s">
        <v>1653</v>
      </c>
      <c r="B1225" s="67">
        <v>33</v>
      </c>
      <c r="C1225" s="69" t="s">
        <v>61</v>
      </c>
      <c r="D1225" s="71" t="s">
        <v>12</v>
      </c>
      <c r="E1225" s="70">
        <v>4.3836500000000003</v>
      </c>
      <c r="F1225" s="74">
        <v>0.14410000000000001</v>
      </c>
      <c r="G1225" s="70">
        <v>0.22114</v>
      </c>
      <c r="H1225" s="74">
        <v>7.3000000000000001E-3</v>
      </c>
    </row>
    <row r="1226" spans="1:8" ht="15.6">
      <c r="A1226" s="468" t="s">
        <v>1654</v>
      </c>
      <c r="B1226" s="67">
        <v>34</v>
      </c>
      <c r="C1226" s="69" t="s">
        <v>61</v>
      </c>
      <c r="D1226" s="71" t="s">
        <v>51</v>
      </c>
      <c r="E1226" s="70">
        <v>8.6009200000000003</v>
      </c>
      <c r="F1226" s="74">
        <v>0.2828</v>
      </c>
      <c r="G1226" s="70">
        <v>0.72994999999999999</v>
      </c>
      <c r="H1226" s="74">
        <v>2.4E-2</v>
      </c>
    </row>
    <row r="1227" spans="1:8" ht="15.6">
      <c r="A1227" s="468" t="s">
        <v>1655</v>
      </c>
      <c r="B1227" s="67">
        <v>35</v>
      </c>
      <c r="C1227" s="69" t="s">
        <v>61</v>
      </c>
      <c r="D1227" s="71" t="s">
        <v>13</v>
      </c>
      <c r="E1227" s="70">
        <v>11.576890000000001</v>
      </c>
      <c r="F1227" s="74">
        <v>0.38059999999999999</v>
      </c>
      <c r="G1227" s="70">
        <v>1.08893</v>
      </c>
      <c r="H1227" s="74">
        <v>3.5799999999999998E-2</v>
      </c>
    </row>
    <row r="1228" spans="1:8" ht="15.6">
      <c r="A1228" s="468" t="s">
        <v>1656</v>
      </c>
      <c r="B1228" s="67">
        <v>36</v>
      </c>
      <c r="C1228" s="69" t="s">
        <v>61</v>
      </c>
      <c r="D1228" s="71" t="s">
        <v>9</v>
      </c>
      <c r="E1228" s="70">
        <v>16.13026</v>
      </c>
      <c r="F1228" s="74">
        <v>0.53029999999999999</v>
      </c>
      <c r="G1228" s="70">
        <v>1.63825</v>
      </c>
      <c r="H1228" s="74">
        <v>5.3900000000000003E-2</v>
      </c>
    </row>
    <row r="1229" spans="1:8" ht="15.6">
      <c r="A1229" s="468" t="s">
        <v>1657</v>
      </c>
      <c r="B1229" s="67">
        <v>37</v>
      </c>
      <c r="C1229" s="69" t="s">
        <v>61</v>
      </c>
      <c r="D1229" s="71" t="s">
        <v>14</v>
      </c>
      <c r="E1229" s="70">
        <v>18.16788</v>
      </c>
      <c r="F1229" s="74">
        <v>0.59730000000000005</v>
      </c>
      <c r="G1229" s="70">
        <v>1.8840699999999999</v>
      </c>
      <c r="H1229" s="74">
        <v>6.1899999999999997E-2</v>
      </c>
    </row>
    <row r="1230" spans="1:8" ht="15.6">
      <c r="A1230" s="468" t="s">
        <v>1658</v>
      </c>
      <c r="B1230" s="67">
        <v>38</v>
      </c>
      <c r="C1230" s="69" t="s">
        <v>61</v>
      </c>
      <c r="D1230" s="71" t="s">
        <v>33</v>
      </c>
      <c r="E1230" s="70">
        <v>26.687580000000001</v>
      </c>
      <c r="F1230" s="74">
        <v>0.87739999999999996</v>
      </c>
      <c r="G1230" s="70">
        <v>2.9118300000000001</v>
      </c>
      <c r="H1230" s="74">
        <v>9.5699999999999993E-2</v>
      </c>
    </row>
    <row r="1231" spans="1:8" ht="15.6">
      <c r="A1231" s="468" t="s">
        <v>1659</v>
      </c>
      <c r="B1231" s="67">
        <v>39</v>
      </c>
      <c r="C1231" s="69" t="s">
        <v>61</v>
      </c>
      <c r="D1231" s="71" t="s">
        <v>25</v>
      </c>
      <c r="E1231" s="70">
        <v>29.19605</v>
      </c>
      <c r="F1231" s="74">
        <v>0.95989999999999998</v>
      </c>
      <c r="G1231" s="70">
        <v>3.2144900000000001</v>
      </c>
      <c r="H1231" s="74">
        <v>0.1057</v>
      </c>
    </row>
    <row r="1232" spans="1:8" ht="15.6">
      <c r="A1232" s="468" t="s">
        <v>1660</v>
      </c>
      <c r="B1232" s="67">
        <v>40</v>
      </c>
      <c r="C1232" s="69" t="s">
        <v>61</v>
      </c>
      <c r="D1232" s="71" t="s">
        <v>31</v>
      </c>
      <c r="E1232" s="70">
        <v>41.890749999999997</v>
      </c>
      <c r="F1232" s="74">
        <v>1.3772</v>
      </c>
      <c r="G1232" s="70">
        <v>4.7459300000000004</v>
      </c>
      <c r="H1232" s="74">
        <v>0.156</v>
      </c>
    </row>
    <row r="1233" spans="1:8" ht="15.6">
      <c r="A1233" s="468" t="s">
        <v>1661</v>
      </c>
      <c r="B1233" s="67">
        <v>41</v>
      </c>
      <c r="C1233" s="69" t="s">
        <v>61</v>
      </c>
      <c r="D1233" s="71" t="s">
        <v>45</v>
      </c>
      <c r="E1233" s="70">
        <v>34.776899999999998</v>
      </c>
      <c r="F1233" s="74">
        <v>1.1434</v>
      </c>
      <c r="G1233" s="70">
        <v>3.8877100000000002</v>
      </c>
      <c r="H1233" s="74">
        <v>0.1278</v>
      </c>
    </row>
    <row r="1234" spans="1:8" ht="15.6">
      <c r="A1234" s="468" t="s">
        <v>1662</v>
      </c>
      <c r="B1234" s="67">
        <v>42</v>
      </c>
      <c r="C1234" s="69" t="s">
        <v>61</v>
      </c>
      <c r="D1234" s="71" t="s">
        <v>27</v>
      </c>
      <c r="E1234" s="70">
        <v>39.170580000000001</v>
      </c>
      <c r="F1234" s="74">
        <v>1.2878000000000001</v>
      </c>
      <c r="G1234" s="70">
        <v>4.41777</v>
      </c>
      <c r="H1234" s="74">
        <v>0.1452</v>
      </c>
    </row>
    <row r="1235" spans="1:8" ht="15.6">
      <c r="A1235" s="468" t="s">
        <v>1663</v>
      </c>
      <c r="B1235" s="67">
        <v>43</v>
      </c>
      <c r="C1235" s="69" t="s">
        <v>61</v>
      </c>
      <c r="D1235" s="71" t="s">
        <v>21</v>
      </c>
      <c r="E1235" s="70">
        <v>42.786520000000003</v>
      </c>
      <c r="F1235" s="74">
        <v>1.4067000000000001</v>
      </c>
      <c r="G1235" s="70">
        <v>4.8539700000000003</v>
      </c>
      <c r="H1235" s="74">
        <v>0.15959999999999999</v>
      </c>
    </row>
    <row r="1236" spans="1:8" ht="15.6">
      <c r="A1236" s="468" t="s">
        <v>1664</v>
      </c>
      <c r="B1236" s="67">
        <v>44</v>
      </c>
      <c r="C1236" s="69" t="s">
        <v>61</v>
      </c>
      <c r="D1236" s="71" t="s">
        <v>32</v>
      </c>
      <c r="E1236" s="70">
        <v>37.849890000000002</v>
      </c>
      <c r="F1236" s="74">
        <v>1.2444</v>
      </c>
      <c r="G1236" s="70">
        <v>4.2584499999999998</v>
      </c>
      <c r="H1236" s="74">
        <v>0.14000000000000001</v>
      </c>
    </row>
    <row r="1237" spans="1:8" ht="15.6">
      <c r="A1237" s="468" t="s">
        <v>1665</v>
      </c>
      <c r="B1237" s="67">
        <v>45</v>
      </c>
      <c r="C1237" s="69" t="s">
        <v>61</v>
      </c>
      <c r="D1237" s="71" t="s">
        <v>30</v>
      </c>
      <c r="E1237" s="70">
        <v>51.301360000000003</v>
      </c>
      <c r="F1237" s="74">
        <v>1.6866000000000001</v>
      </c>
      <c r="G1237" s="70">
        <v>5.4560300000000002</v>
      </c>
      <c r="H1237" s="74">
        <v>0.1794</v>
      </c>
    </row>
    <row r="1238" spans="1:8" ht="15.6">
      <c r="A1238" s="468" t="s">
        <v>1666</v>
      </c>
      <c r="B1238" s="67">
        <v>46</v>
      </c>
      <c r="C1238" s="69" t="s">
        <v>61</v>
      </c>
      <c r="D1238" s="71" t="s">
        <v>28</v>
      </c>
      <c r="E1238" s="70">
        <v>52.710560000000001</v>
      </c>
      <c r="F1238" s="74">
        <v>1.7330000000000001</v>
      </c>
      <c r="G1238" s="70">
        <v>5.61435</v>
      </c>
      <c r="H1238" s="74">
        <v>0.18459999999999999</v>
      </c>
    </row>
    <row r="1239" spans="1:8" ht="15.6">
      <c r="A1239" s="468" t="s">
        <v>1667</v>
      </c>
      <c r="B1239" s="67">
        <v>47</v>
      </c>
      <c r="C1239" s="69" t="s">
        <v>61</v>
      </c>
      <c r="D1239" s="71" t="s">
        <v>79</v>
      </c>
      <c r="E1239" s="70">
        <v>53.016860000000001</v>
      </c>
      <c r="F1239" s="74">
        <v>1.7430000000000001</v>
      </c>
      <c r="G1239" s="70">
        <v>5.6487499999999997</v>
      </c>
      <c r="H1239" s="74">
        <v>0.1857</v>
      </c>
    </row>
    <row r="1240" spans="1:8" ht="15.6">
      <c r="A1240" s="468" t="s">
        <v>1668</v>
      </c>
      <c r="B1240" s="67">
        <v>48</v>
      </c>
      <c r="C1240" s="69" t="s">
        <v>61</v>
      </c>
      <c r="D1240" s="71" t="s">
        <v>29</v>
      </c>
      <c r="E1240" s="70">
        <v>56.796430000000001</v>
      </c>
      <c r="F1240" s="74">
        <v>1.8673</v>
      </c>
      <c r="G1240" s="70">
        <v>6.07341</v>
      </c>
      <c r="H1240" s="74">
        <v>0.19969999999999999</v>
      </c>
    </row>
    <row r="1241" spans="1:8" ht="15.6">
      <c r="A1241" s="468" t="s">
        <v>1669</v>
      </c>
      <c r="B1241" s="67">
        <v>49</v>
      </c>
      <c r="C1241" s="69" t="s">
        <v>61</v>
      </c>
      <c r="D1241" s="71" t="s">
        <v>43</v>
      </c>
      <c r="E1241" s="70">
        <v>52.808500000000002</v>
      </c>
      <c r="F1241" s="74">
        <v>1.7362</v>
      </c>
      <c r="G1241" s="70">
        <v>5.6253399999999996</v>
      </c>
      <c r="H1241" s="74">
        <v>0.18490000000000001</v>
      </c>
    </row>
    <row r="1242" spans="1:8" ht="15.6">
      <c r="A1242" s="468" t="s">
        <v>1670</v>
      </c>
      <c r="B1242" s="67">
        <v>50</v>
      </c>
      <c r="C1242" s="69" t="s">
        <v>61</v>
      </c>
      <c r="D1242" s="71" t="s">
        <v>18</v>
      </c>
      <c r="E1242" s="70">
        <v>53.892859999999999</v>
      </c>
      <c r="F1242" s="74">
        <v>1.7718</v>
      </c>
      <c r="G1242" s="70">
        <v>5.7471899999999998</v>
      </c>
      <c r="H1242" s="74">
        <v>0.189</v>
      </c>
    </row>
    <row r="1243" spans="1:8" ht="15.6">
      <c r="A1243" s="468" t="s">
        <v>1671</v>
      </c>
      <c r="B1243" s="67">
        <v>51</v>
      </c>
      <c r="C1243" s="69" t="s">
        <v>61</v>
      </c>
      <c r="D1243" s="71" t="s">
        <v>76</v>
      </c>
      <c r="E1243" s="70">
        <v>52.808500000000002</v>
      </c>
      <c r="F1243" s="74">
        <v>1.7362</v>
      </c>
      <c r="G1243" s="70">
        <v>5.6253399999999996</v>
      </c>
      <c r="H1243" s="74">
        <v>0.18490000000000001</v>
      </c>
    </row>
    <row r="1244" spans="1:8" ht="15.6">
      <c r="A1244" s="468" t="s">
        <v>1672</v>
      </c>
      <c r="B1244" s="67">
        <v>52</v>
      </c>
      <c r="C1244" s="69" t="s">
        <v>61</v>
      </c>
      <c r="D1244" s="71" t="s">
        <v>19</v>
      </c>
      <c r="E1244" s="70">
        <v>55.556040000000003</v>
      </c>
      <c r="F1244" s="74">
        <v>1.8265</v>
      </c>
      <c r="G1244" s="70">
        <v>5.9340400000000004</v>
      </c>
      <c r="H1244" s="74">
        <v>0.1951</v>
      </c>
    </row>
    <row r="1245" spans="1:8" ht="15.6">
      <c r="A1245" s="468" t="s">
        <v>1673</v>
      </c>
      <c r="B1245" s="67">
        <v>53</v>
      </c>
      <c r="C1245" s="69" t="s">
        <v>61</v>
      </c>
      <c r="D1245" s="71" t="s">
        <v>23</v>
      </c>
      <c r="E1245" s="70">
        <v>57.989980000000003</v>
      </c>
      <c r="F1245" s="74">
        <v>1.9065000000000001</v>
      </c>
      <c r="G1245" s="70">
        <v>6.20749</v>
      </c>
      <c r="H1245" s="74">
        <v>0.2041</v>
      </c>
    </row>
    <row r="1246" spans="1:8" ht="15.6">
      <c r="A1246" s="468" t="s">
        <v>1674</v>
      </c>
      <c r="B1246" s="67">
        <v>54</v>
      </c>
      <c r="C1246" s="69" t="s">
        <v>61</v>
      </c>
      <c r="D1246" s="71" t="s">
        <v>20</v>
      </c>
      <c r="E1246" s="70">
        <v>59.593249999999998</v>
      </c>
      <c r="F1246" s="74">
        <v>1.9592000000000001</v>
      </c>
      <c r="G1246" s="70">
        <v>6.3876299999999997</v>
      </c>
      <c r="H1246" s="74">
        <v>0.21</v>
      </c>
    </row>
    <row r="1247" spans="1:8" ht="15.6">
      <c r="A1247" s="468" t="s">
        <v>1675</v>
      </c>
      <c r="B1247" s="67">
        <v>55</v>
      </c>
      <c r="C1247" s="69" t="s">
        <v>61</v>
      </c>
      <c r="D1247" s="71" t="s">
        <v>53</v>
      </c>
      <c r="E1247" s="70">
        <v>48.697690000000001</v>
      </c>
      <c r="F1247" s="74">
        <v>1.601</v>
      </c>
      <c r="G1247" s="70">
        <v>5.1635299999999997</v>
      </c>
      <c r="H1247" s="74">
        <v>0.16980000000000001</v>
      </c>
    </row>
    <row r="1248" spans="1:8" ht="15.6">
      <c r="A1248" s="468" t="s">
        <v>1676</v>
      </c>
      <c r="B1248" s="67">
        <v>56</v>
      </c>
      <c r="C1248" s="69" t="s">
        <v>61</v>
      </c>
      <c r="D1248" s="71" t="s">
        <v>41</v>
      </c>
      <c r="E1248" s="70">
        <v>48.632599999999996</v>
      </c>
      <c r="F1248" s="74">
        <v>1.5989</v>
      </c>
      <c r="G1248" s="70">
        <v>5.1562000000000001</v>
      </c>
      <c r="H1248" s="74">
        <v>0.16950000000000001</v>
      </c>
    </row>
    <row r="1249" spans="1:8" ht="15.6">
      <c r="A1249" s="468" t="s">
        <v>1677</v>
      </c>
      <c r="B1249" s="67">
        <v>57</v>
      </c>
      <c r="C1249" s="69" t="s">
        <v>61</v>
      </c>
      <c r="D1249" s="71" t="s">
        <v>36</v>
      </c>
      <c r="E1249" s="70">
        <v>54.17756</v>
      </c>
      <c r="F1249" s="74">
        <v>1.7811999999999999</v>
      </c>
      <c r="G1249" s="70">
        <v>5.7791399999999999</v>
      </c>
      <c r="H1249" s="74">
        <v>0.19</v>
      </c>
    </row>
    <row r="1250" spans="1:8" ht="15.6">
      <c r="A1250" s="468" t="s">
        <v>1678</v>
      </c>
      <c r="B1250" s="67">
        <v>58</v>
      </c>
      <c r="C1250" s="69" t="s">
        <v>61</v>
      </c>
      <c r="D1250" s="71" t="s">
        <v>15</v>
      </c>
      <c r="E1250" s="70">
        <v>56.531500000000001</v>
      </c>
      <c r="F1250" s="74">
        <v>1.8586</v>
      </c>
      <c r="G1250" s="70">
        <v>6.0436100000000001</v>
      </c>
      <c r="H1250" s="74">
        <v>0.19869999999999999</v>
      </c>
    </row>
    <row r="1251" spans="1:8" ht="15.6">
      <c r="A1251" s="468" t="s">
        <v>1679</v>
      </c>
      <c r="B1251" s="67">
        <v>59</v>
      </c>
      <c r="C1251" s="69" t="s">
        <v>61</v>
      </c>
      <c r="D1251" s="71" t="s">
        <v>16</v>
      </c>
      <c r="E1251" s="70">
        <v>62.985010000000003</v>
      </c>
      <c r="F1251" s="74">
        <v>2.0707</v>
      </c>
      <c r="G1251" s="70">
        <v>6.7686700000000002</v>
      </c>
      <c r="H1251" s="74">
        <v>0.2225</v>
      </c>
    </row>
    <row r="1252" spans="1:8" ht="15.6">
      <c r="A1252" s="468" t="s">
        <v>1680</v>
      </c>
      <c r="B1252" s="67">
        <v>60</v>
      </c>
      <c r="C1252" s="69" t="s">
        <v>61</v>
      </c>
      <c r="D1252" s="71" t="s">
        <v>17</v>
      </c>
      <c r="E1252" s="70">
        <v>18.524360000000001</v>
      </c>
      <c r="F1252" s="74">
        <v>0.60899999999999999</v>
      </c>
      <c r="G1252" s="70">
        <v>1.9270400000000001</v>
      </c>
      <c r="H1252" s="74">
        <v>6.3399999999999998E-2</v>
      </c>
    </row>
    <row r="1253" spans="1:8" ht="15.6">
      <c r="A1253" s="468" t="s">
        <v>1681</v>
      </c>
      <c r="B1253" s="67">
        <v>61</v>
      </c>
      <c r="C1253" s="69" t="s">
        <v>61</v>
      </c>
      <c r="D1253" s="71" t="s">
        <v>10</v>
      </c>
      <c r="E1253" s="70">
        <v>18.524360000000001</v>
      </c>
      <c r="F1253" s="74">
        <v>0.60899999999999999</v>
      </c>
      <c r="G1253" s="70">
        <v>1.9270400000000001</v>
      </c>
      <c r="H1253" s="74">
        <v>6.3399999999999998E-2</v>
      </c>
    </row>
    <row r="1254" spans="1:8" ht="15.6">
      <c r="A1254" s="468" t="s">
        <v>1682</v>
      </c>
      <c r="B1254" s="67">
        <v>62</v>
      </c>
      <c r="C1254" s="69" t="s">
        <v>61</v>
      </c>
      <c r="D1254" s="71" t="s">
        <v>22</v>
      </c>
      <c r="E1254" s="70">
        <v>55.92895</v>
      </c>
      <c r="F1254" s="74">
        <v>1.8388</v>
      </c>
      <c r="G1254" s="70">
        <v>5.9759500000000001</v>
      </c>
      <c r="H1254" s="74">
        <v>0.19650000000000001</v>
      </c>
    </row>
    <row r="1255" spans="1:8" ht="15.6">
      <c r="A1255" s="468" t="s">
        <v>1683</v>
      </c>
      <c r="B1255" s="67">
        <v>63</v>
      </c>
      <c r="C1255" s="69" t="s">
        <v>61</v>
      </c>
      <c r="D1255" s="71" t="s">
        <v>35</v>
      </c>
      <c r="E1255" s="70">
        <v>52.116219999999998</v>
      </c>
      <c r="F1255" s="74">
        <v>1.7134</v>
      </c>
      <c r="G1255" s="70">
        <v>5.5475599999999998</v>
      </c>
      <c r="H1255" s="74">
        <v>0.18240000000000001</v>
      </c>
    </row>
    <row r="1256" spans="1:8" ht="15.6">
      <c r="A1256" s="468" t="s">
        <v>1684</v>
      </c>
      <c r="B1256" s="67">
        <v>64</v>
      </c>
      <c r="C1256" s="69" t="s">
        <v>61</v>
      </c>
      <c r="D1256" s="71" t="s">
        <v>24</v>
      </c>
      <c r="E1256" s="70">
        <v>59.314630000000001</v>
      </c>
      <c r="F1256" s="74">
        <v>1.9500999999999999</v>
      </c>
      <c r="G1256" s="70">
        <v>6.3563499999999999</v>
      </c>
      <c r="H1256" s="74">
        <v>0.20899999999999999</v>
      </c>
    </row>
    <row r="1257" spans="1:8" ht="15.6">
      <c r="A1257" s="468" t="s">
        <v>1685</v>
      </c>
      <c r="B1257" s="67">
        <v>65</v>
      </c>
      <c r="C1257" s="69" t="s">
        <v>61</v>
      </c>
      <c r="D1257" s="71" t="s">
        <v>37</v>
      </c>
      <c r="E1257" s="70">
        <v>54.134059999999998</v>
      </c>
      <c r="F1257" s="74">
        <v>1.7798</v>
      </c>
      <c r="G1257" s="70">
        <v>5.7742800000000001</v>
      </c>
      <c r="H1257" s="74">
        <v>0.1898</v>
      </c>
    </row>
    <row r="1258" spans="1:8" ht="15.6">
      <c r="A1258" s="468" t="s">
        <v>1686</v>
      </c>
      <c r="B1258" s="67">
        <v>66</v>
      </c>
      <c r="C1258" s="69" t="s">
        <v>61</v>
      </c>
      <c r="D1258" s="71" t="s">
        <v>38</v>
      </c>
      <c r="E1258" s="70">
        <v>44.817129999999999</v>
      </c>
      <c r="F1258" s="74">
        <v>1.4734</v>
      </c>
      <c r="G1258" s="70">
        <v>5.0989399999999998</v>
      </c>
      <c r="H1258" s="74">
        <v>0.1676</v>
      </c>
    </row>
    <row r="1259" spans="1:8" ht="15.6">
      <c r="A1259" s="468" t="s">
        <v>1687</v>
      </c>
      <c r="B1259" s="67">
        <v>67</v>
      </c>
      <c r="C1259" s="69" t="s">
        <v>61</v>
      </c>
      <c r="D1259" s="71" t="s">
        <v>26</v>
      </c>
      <c r="E1259" s="70">
        <v>59.631270000000001</v>
      </c>
      <c r="F1259" s="74">
        <v>1.9604999999999999</v>
      </c>
      <c r="G1259" s="70">
        <v>6.3918900000000001</v>
      </c>
      <c r="H1259" s="74">
        <v>0.21010000000000001</v>
      </c>
    </row>
    <row r="1260" spans="1:8" ht="15.6">
      <c r="A1260" s="468" t="s">
        <v>1688</v>
      </c>
      <c r="B1260" s="67">
        <v>68</v>
      </c>
      <c r="C1260" s="69" t="s">
        <v>61</v>
      </c>
      <c r="D1260" s="71" t="s">
        <v>52</v>
      </c>
      <c r="E1260" s="70">
        <v>18.16788</v>
      </c>
      <c r="F1260" s="74">
        <v>0.59730000000000005</v>
      </c>
      <c r="G1260" s="70">
        <v>1.8840699999999999</v>
      </c>
      <c r="H1260" s="74">
        <v>6.1899999999999997E-2</v>
      </c>
    </row>
    <row r="1261" spans="1:8" ht="15.6">
      <c r="A1261" s="468" t="s">
        <v>1689</v>
      </c>
      <c r="B1261" s="67">
        <v>69</v>
      </c>
      <c r="C1261" s="69" t="s">
        <v>61</v>
      </c>
      <c r="D1261" s="71" t="s">
        <v>40</v>
      </c>
      <c r="E1261" s="70">
        <v>44.950360000000003</v>
      </c>
      <c r="F1261" s="74">
        <v>1.4778</v>
      </c>
      <c r="G1261" s="70">
        <v>5.1150200000000003</v>
      </c>
      <c r="H1261" s="74">
        <v>0.16819999999999999</v>
      </c>
    </row>
    <row r="1262" spans="1:8" ht="15.6">
      <c r="A1262" s="468" t="s">
        <v>1690</v>
      </c>
      <c r="B1262" s="67">
        <v>70</v>
      </c>
      <c r="C1262" s="69" t="s">
        <v>61</v>
      </c>
      <c r="D1262" s="71" t="s">
        <v>34</v>
      </c>
      <c r="E1262" s="70">
        <v>11.576890000000001</v>
      </c>
      <c r="F1262" s="74">
        <v>0.38059999999999999</v>
      </c>
      <c r="G1262" s="70">
        <v>1.08893</v>
      </c>
      <c r="H1262" s="74">
        <v>3.5799999999999998E-2</v>
      </c>
    </row>
    <row r="1263" spans="1:8" ht="15.6">
      <c r="A1263" s="468" t="s">
        <v>1691</v>
      </c>
      <c r="B1263" s="67">
        <v>71</v>
      </c>
      <c r="C1263" s="69" t="s">
        <v>61</v>
      </c>
      <c r="D1263" s="71" t="s">
        <v>54</v>
      </c>
      <c r="E1263" s="70">
        <v>48.697690000000001</v>
      </c>
      <c r="F1263" s="74">
        <v>1.601</v>
      </c>
      <c r="G1263" s="70">
        <v>5.1635299999999997</v>
      </c>
      <c r="H1263" s="74">
        <v>0.16980000000000001</v>
      </c>
    </row>
    <row r="1264" spans="1:8" ht="15.6">
      <c r="A1264" s="468" t="s">
        <v>1692</v>
      </c>
      <c r="B1264" s="67">
        <v>72</v>
      </c>
      <c r="C1264" s="69" t="s">
        <v>52</v>
      </c>
      <c r="D1264" s="71" t="s">
        <v>12</v>
      </c>
      <c r="E1264" s="70" t="s">
        <v>286</v>
      </c>
      <c r="F1264" s="74">
        <v>0.64870000000000005</v>
      </c>
      <c r="G1264" s="70" t="s">
        <v>286</v>
      </c>
      <c r="H1264" s="74">
        <v>6.8099999999999994E-2</v>
      </c>
    </row>
    <row r="1265" spans="1:8" ht="15.6">
      <c r="A1265" s="468" t="s">
        <v>1693</v>
      </c>
      <c r="B1265" s="67">
        <v>73</v>
      </c>
      <c r="C1265" s="69" t="s">
        <v>52</v>
      </c>
      <c r="D1265" s="71" t="s">
        <v>51</v>
      </c>
      <c r="E1265" s="70" t="s">
        <v>286</v>
      </c>
      <c r="F1265" s="74">
        <v>0.40799999999999997</v>
      </c>
      <c r="G1265" s="70" t="s">
        <v>286</v>
      </c>
      <c r="H1265" s="74">
        <v>3.9100000000000003E-2</v>
      </c>
    </row>
    <row r="1266" spans="1:8" ht="15.6">
      <c r="A1266" s="468" t="s">
        <v>1694</v>
      </c>
      <c r="B1266" s="67">
        <v>74</v>
      </c>
      <c r="C1266" s="69" t="s">
        <v>52</v>
      </c>
      <c r="D1266" s="71" t="s">
        <v>13</v>
      </c>
      <c r="E1266" s="70" t="s">
        <v>286</v>
      </c>
      <c r="F1266" s="74">
        <v>0.30940000000000001</v>
      </c>
      <c r="G1266" s="70" t="s">
        <v>286</v>
      </c>
      <c r="H1266" s="74">
        <v>2.7199999999999998E-2</v>
      </c>
    </row>
    <row r="1267" spans="1:8" ht="15.6">
      <c r="A1267" s="468" t="s">
        <v>1695</v>
      </c>
      <c r="B1267" s="67">
        <v>75</v>
      </c>
      <c r="C1267" s="69" t="s">
        <v>52</v>
      </c>
      <c r="D1267" s="71" t="s">
        <v>9</v>
      </c>
      <c r="E1267" s="70" t="s">
        <v>286</v>
      </c>
      <c r="F1267" s="74">
        <v>0.16120000000000001</v>
      </c>
      <c r="G1267" s="70" t="s">
        <v>286</v>
      </c>
      <c r="H1267" s="74">
        <v>9.2999999999999992E-3</v>
      </c>
    </row>
    <row r="1268" spans="1:8" ht="15.6">
      <c r="A1268" s="468" t="s">
        <v>1696</v>
      </c>
      <c r="B1268" s="67">
        <v>76</v>
      </c>
      <c r="C1268" s="69" t="s">
        <v>52</v>
      </c>
      <c r="D1268" s="71" t="s">
        <v>14</v>
      </c>
      <c r="E1268" s="70" t="s">
        <v>286</v>
      </c>
      <c r="F1268" s="74">
        <v>9.2700000000000005E-2</v>
      </c>
      <c r="G1268" s="70" t="s">
        <v>286</v>
      </c>
      <c r="H1268" s="74">
        <v>1.1000000000000001E-3</v>
      </c>
    </row>
    <row r="1269" spans="1:8" ht="15.6">
      <c r="A1269" s="468" t="s">
        <v>1697</v>
      </c>
      <c r="B1269" s="67">
        <v>77</v>
      </c>
      <c r="C1269" s="69" t="s">
        <v>52</v>
      </c>
      <c r="D1269" s="71" t="s">
        <v>33</v>
      </c>
      <c r="E1269" s="70" t="s">
        <v>286</v>
      </c>
      <c r="F1269" s="74">
        <v>0.37280000000000002</v>
      </c>
      <c r="G1269" s="70" t="s">
        <v>286</v>
      </c>
      <c r="H1269" s="74">
        <v>3.49E-2</v>
      </c>
    </row>
    <row r="1270" spans="1:8" ht="15.6">
      <c r="A1270" s="468" t="s">
        <v>1698</v>
      </c>
      <c r="B1270" s="67">
        <v>1</v>
      </c>
      <c r="C1270" s="69" t="s">
        <v>52</v>
      </c>
      <c r="D1270" s="71" t="s">
        <v>25</v>
      </c>
      <c r="E1270" s="70" t="s">
        <v>286</v>
      </c>
      <c r="F1270" s="74">
        <v>0.45529999999999998</v>
      </c>
      <c r="G1270" s="70" t="s">
        <v>286</v>
      </c>
      <c r="H1270" s="74">
        <v>4.48E-2</v>
      </c>
    </row>
    <row r="1271" spans="1:8" ht="15.6">
      <c r="A1271" s="468" t="s">
        <v>1699</v>
      </c>
      <c r="B1271" s="67">
        <v>2</v>
      </c>
      <c r="C1271" s="69" t="s">
        <v>52</v>
      </c>
      <c r="D1271" s="71" t="s">
        <v>31</v>
      </c>
      <c r="E1271" s="70" t="s">
        <v>286</v>
      </c>
      <c r="F1271" s="74">
        <v>0.87270000000000003</v>
      </c>
      <c r="G1271" s="70" t="s">
        <v>286</v>
      </c>
      <c r="H1271" s="74">
        <v>9.5200000000000007E-2</v>
      </c>
    </row>
    <row r="1272" spans="1:8" ht="15.6">
      <c r="A1272" s="468" t="s">
        <v>1700</v>
      </c>
      <c r="B1272" s="67">
        <v>3</v>
      </c>
      <c r="C1272" s="69" t="s">
        <v>52</v>
      </c>
      <c r="D1272" s="71" t="s">
        <v>45</v>
      </c>
      <c r="E1272" s="70" t="s">
        <v>286</v>
      </c>
      <c r="F1272" s="74">
        <v>0.63880000000000003</v>
      </c>
      <c r="G1272" s="70" t="s">
        <v>286</v>
      </c>
      <c r="H1272" s="74">
        <v>6.7000000000000004E-2</v>
      </c>
    </row>
    <row r="1273" spans="1:8" ht="15.6">
      <c r="A1273" s="468" t="s">
        <v>1701</v>
      </c>
      <c r="B1273" s="67">
        <v>4</v>
      </c>
      <c r="C1273" s="69" t="s">
        <v>52</v>
      </c>
      <c r="D1273" s="71" t="s">
        <v>27</v>
      </c>
      <c r="E1273" s="70" t="s">
        <v>286</v>
      </c>
      <c r="F1273" s="74">
        <v>0.78320000000000001</v>
      </c>
      <c r="G1273" s="70" t="s">
        <v>286</v>
      </c>
      <c r="H1273" s="74">
        <v>8.4400000000000003E-2</v>
      </c>
    </row>
    <row r="1274" spans="1:8" ht="15.6">
      <c r="A1274" s="468" t="s">
        <v>1702</v>
      </c>
      <c r="B1274" s="67">
        <v>5</v>
      </c>
      <c r="C1274" s="69" t="s">
        <v>52</v>
      </c>
      <c r="D1274" s="71" t="s">
        <v>21</v>
      </c>
      <c r="E1274" s="70" t="s">
        <v>286</v>
      </c>
      <c r="F1274" s="74">
        <v>0.90210000000000001</v>
      </c>
      <c r="G1274" s="70" t="s">
        <v>286</v>
      </c>
      <c r="H1274" s="74">
        <v>9.8699999999999996E-2</v>
      </c>
    </row>
    <row r="1275" spans="1:8" ht="15.6">
      <c r="A1275" s="468" t="s">
        <v>1703</v>
      </c>
      <c r="B1275" s="67">
        <v>6</v>
      </c>
      <c r="C1275" s="69" t="s">
        <v>52</v>
      </c>
      <c r="D1275" s="71" t="s">
        <v>32</v>
      </c>
      <c r="E1275" s="70" t="s">
        <v>286</v>
      </c>
      <c r="F1275" s="74">
        <v>0.80679999999999996</v>
      </c>
      <c r="G1275" s="70" t="s">
        <v>286</v>
      </c>
      <c r="H1275" s="74">
        <v>8.72E-2</v>
      </c>
    </row>
    <row r="1276" spans="1:8" ht="15.6">
      <c r="A1276" s="468" t="s">
        <v>1704</v>
      </c>
      <c r="B1276" s="67">
        <v>7</v>
      </c>
      <c r="C1276" s="69" t="s">
        <v>52</v>
      </c>
      <c r="D1276" s="71" t="s">
        <v>30</v>
      </c>
      <c r="E1276" s="70" t="s">
        <v>286</v>
      </c>
      <c r="F1276" s="74">
        <v>1.1448</v>
      </c>
      <c r="G1276" s="70" t="s">
        <v>286</v>
      </c>
      <c r="H1276" s="74">
        <v>0.11849999999999999</v>
      </c>
    </row>
    <row r="1277" spans="1:8" ht="15.6">
      <c r="A1277" s="468" t="s">
        <v>1705</v>
      </c>
      <c r="B1277" s="67">
        <v>8</v>
      </c>
      <c r="C1277" s="69" t="s">
        <v>52</v>
      </c>
      <c r="D1277" s="71" t="s">
        <v>28</v>
      </c>
      <c r="E1277" s="70" t="s">
        <v>286</v>
      </c>
      <c r="F1277" s="74">
        <v>1.2630999999999999</v>
      </c>
      <c r="G1277" s="70" t="s">
        <v>286</v>
      </c>
      <c r="H1277" s="74">
        <v>0.1318</v>
      </c>
    </row>
    <row r="1278" spans="1:8" ht="15.6">
      <c r="A1278" s="468" t="s">
        <v>1706</v>
      </c>
      <c r="B1278" s="67">
        <v>9</v>
      </c>
      <c r="C1278" s="69" t="s">
        <v>52</v>
      </c>
      <c r="D1278" s="71" t="s">
        <v>79</v>
      </c>
      <c r="E1278" s="70" t="s">
        <v>286</v>
      </c>
      <c r="F1278" s="74">
        <v>1.2613000000000001</v>
      </c>
      <c r="G1278" s="70" t="s">
        <v>286</v>
      </c>
      <c r="H1278" s="74">
        <v>0.13159999999999999</v>
      </c>
    </row>
    <row r="1279" spans="1:8" ht="15.6">
      <c r="A1279" s="468" t="s">
        <v>1707</v>
      </c>
      <c r="B1279" s="67">
        <v>10</v>
      </c>
      <c r="C1279" s="69" t="s">
        <v>52</v>
      </c>
      <c r="D1279" s="71" t="s">
        <v>29</v>
      </c>
      <c r="E1279" s="70" t="s">
        <v>286</v>
      </c>
      <c r="F1279" s="74">
        <v>1.3275999999999999</v>
      </c>
      <c r="G1279" s="70" t="s">
        <v>286</v>
      </c>
      <c r="H1279" s="74">
        <v>0.13900000000000001</v>
      </c>
    </row>
    <row r="1280" spans="1:8" ht="15.6">
      <c r="A1280" s="468" t="s">
        <v>1708</v>
      </c>
      <c r="B1280" s="67">
        <v>11</v>
      </c>
      <c r="C1280" s="69" t="s">
        <v>52</v>
      </c>
      <c r="D1280" s="71" t="s">
        <v>43</v>
      </c>
      <c r="E1280" s="70" t="s">
        <v>286</v>
      </c>
      <c r="F1280" s="74">
        <v>1.2544999999999999</v>
      </c>
      <c r="G1280" s="70" t="s">
        <v>286</v>
      </c>
      <c r="H1280" s="74">
        <v>0.1308</v>
      </c>
    </row>
    <row r="1281" spans="1:8" ht="15.6">
      <c r="A1281" s="468" t="s">
        <v>1709</v>
      </c>
      <c r="B1281" s="67">
        <v>12</v>
      </c>
      <c r="C1281" s="69" t="s">
        <v>52</v>
      </c>
      <c r="D1281" s="71" t="s">
        <v>18</v>
      </c>
      <c r="E1281" s="70" t="s">
        <v>286</v>
      </c>
      <c r="F1281" s="74">
        <v>1.2462</v>
      </c>
      <c r="G1281" s="70" t="s">
        <v>286</v>
      </c>
      <c r="H1281" s="74">
        <v>0.12989999999999999</v>
      </c>
    </row>
    <row r="1282" spans="1:8" ht="15.6">
      <c r="A1282" s="468" t="s">
        <v>1710</v>
      </c>
      <c r="B1282" s="67">
        <v>13</v>
      </c>
      <c r="C1282" s="69" t="s">
        <v>52</v>
      </c>
      <c r="D1282" s="71" t="s">
        <v>76</v>
      </c>
      <c r="E1282" s="70" t="s">
        <v>286</v>
      </c>
      <c r="F1282" s="74">
        <v>1.2544999999999999</v>
      </c>
      <c r="G1282" s="70" t="s">
        <v>286</v>
      </c>
      <c r="H1282" s="74">
        <v>0.1308</v>
      </c>
    </row>
    <row r="1283" spans="1:8" ht="15.6">
      <c r="A1283" s="468" t="s">
        <v>1711</v>
      </c>
      <c r="B1283" s="67">
        <v>14</v>
      </c>
      <c r="C1283" s="69" t="s">
        <v>52</v>
      </c>
      <c r="D1283" s="71" t="s">
        <v>19</v>
      </c>
      <c r="E1283" s="70" t="s">
        <v>286</v>
      </c>
      <c r="F1283" s="74">
        <v>1.2850999999999999</v>
      </c>
      <c r="G1283" s="70" t="s">
        <v>286</v>
      </c>
      <c r="H1283" s="74">
        <v>0.1343</v>
      </c>
    </row>
    <row r="1284" spans="1:8" ht="15.6">
      <c r="A1284" s="468" t="s">
        <v>1712</v>
      </c>
      <c r="B1284" s="67">
        <v>15</v>
      </c>
      <c r="C1284" s="69" t="s">
        <v>52</v>
      </c>
      <c r="D1284" s="71" t="s">
        <v>23</v>
      </c>
      <c r="E1284" s="70" t="s">
        <v>286</v>
      </c>
      <c r="F1284" s="74">
        <v>1.3647</v>
      </c>
      <c r="G1284" s="70" t="s">
        <v>286</v>
      </c>
      <c r="H1284" s="74">
        <v>0.14319999999999999</v>
      </c>
    </row>
    <row r="1285" spans="1:8" ht="15.6">
      <c r="A1285" s="468" t="s">
        <v>1713</v>
      </c>
      <c r="B1285" s="67">
        <v>16</v>
      </c>
      <c r="C1285" s="69" t="s">
        <v>52</v>
      </c>
      <c r="D1285" s="71" t="s">
        <v>20</v>
      </c>
      <c r="E1285" s="70" t="s">
        <v>286</v>
      </c>
      <c r="F1285" s="74">
        <v>1.4174</v>
      </c>
      <c r="G1285" s="70" t="s">
        <v>286</v>
      </c>
      <c r="H1285" s="74">
        <v>0.14910000000000001</v>
      </c>
    </row>
    <row r="1286" spans="1:8" ht="15.6">
      <c r="A1286" s="468" t="s">
        <v>1714</v>
      </c>
      <c r="B1286" s="67">
        <v>17</v>
      </c>
      <c r="C1286" s="69" t="s">
        <v>52</v>
      </c>
      <c r="D1286" s="71" t="s">
        <v>53</v>
      </c>
      <c r="E1286" s="70" t="s">
        <v>286</v>
      </c>
      <c r="F1286" s="74">
        <v>1.1312</v>
      </c>
      <c r="G1286" s="70" t="s">
        <v>286</v>
      </c>
      <c r="H1286" s="74">
        <v>0.11700000000000001</v>
      </c>
    </row>
    <row r="1287" spans="1:8" ht="15.6">
      <c r="A1287" s="468" t="s">
        <v>1715</v>
      </c>
      <c r="B1287" s="67">
        <v>18</v>
      </c>
      <c r="C1287" s="69" t="s">
        <v>52</v>
      </c>
      <c r="D1287" s="71" t="s">
        <v>41</v>
      </c>
      <c r="E1287" s="70" t="s">
        <v>286</v>
      </c>
      <c r="F1287" s="74">
        <v>1.1291</v>
      </c>
      <c r="G1287" s="70" t="s">
        <v>286</v>
      </c>
      <c r="H1287" s="74">
        <v>0.1167</v>
      </c>
    </row>
    <row r="1288" spans="1:8" ht="15.6">
      <c r="A1288" s="468" t="s">
        <v>1716</v>
      </c>
      <c r="B1288" s="67">
        <v>19</v>
      </c>
      <c r="C1288" s="69" t="s">
        <v>52</v>
      </c>
      <c r="D1288" s="71" t="s">
        <v>36</v>
      </c>
      <c r="E1288" s="70" t="s">
        <v>286</v>
      </c>
      <c r="F1288" s="74">
        <v>1.3112999999999999</v>
      </c>
      <c r="G1288" s="70" t="s">
        <v>286</v>
      </c>
      <c r="H1288" s="74">
        <v>0.13719999999999999</v>
      </c>
    </row>
    <row r="1289" spans="1:8" ht="15.6">
      <c r="A1289" s="468" t="s">
        <v>1717</v>
      </c>
      <c r="B1289" s="67">
        <v>20</v>
      </c>
      <c r="C1289" s="69" t="s">
        <v>52</v>
      </c>
      <c r="D1289" s="71" t="s">
        <v>15</v>
      </c>
      <c r="E1289" s="70" t="s">
        <v>286</v>
      </c>
      <c r="F1289" s="74">
        <v>1.3168</v>
      </c>
      <c r="G1289" s="70" t="s">
        <v>286</v>
      </c>
      <c r="H1289" s="74">
        <v>0.13780000000000001</v>
      </c>
    </row>
    <row r="1290" spans="1:8" ht="15.6">
      <c r="A1290" s="468" t="s">
        <v>1718</v>
      </c>
      <c r="B1290" s="67">
        <v>21</v>
      </c>
      <c r="C1290" s="69" t="s">
        <v>52</v>
      </c>
      <c r="D1290" s="71" t="s">
        <v>16</v>
      </c>
      <c r="E1290" s="70" t="s">
        <v>286</v>
      </c>
      <c r="F1290" s="74">
        <v>1.5288999999999999</v>
      </c>
      <c r="G1290" s="70" t="s">
        <v>286</v>
      </c>
      <c r="H1290" s="74">
        <v>0.16170000000000001</v>
      </c>
    </row>
    <row r="1291" spans="1:8" ht="15.6">
      <c r="A1291" s="468" t="s">
        <v>1719</v>
      </c>
      <c r="B1291" s="67">
        <v>22</v>
      </c>
      <c r="C1291" s="69" t="s">
        <v>52</v>
      </c>
      <c r="D1291" s="71" t="s">
        <v>17</v>
      </c>
      <c r="E1291" s="70" t="s">
        <v>286</v>
      </c>
      <c r="F1291" s="74">
        <v>0.17150000000000001</v>
      </c>
      <c r="G1291" s="70" t="s">
        <v>286</v>
      </c>
      <c r="H1291" s="74">
        <v>1.06E-2</v>
      </c>
    </row>
    <row r="1292" spans="1:8" ht="15.6">
      <c r="A1292" s="468" t="s">
        <v>1720</v>
      </c>
      <c r="B1292" s="67">
        <v>23</v>
      </c>
      <c r="C1292" s="69" t="s">
        <v>52</v>
      </c>
      <c r="D1292" s="71" t="s">
        <v>10</v>
      </c>
      <c r="E1292" s="70" t="s">
        <v>286</v>
      </c>
      <c r="F1292" s="74">
        <v>0.17150000000000001</v>
      </c>
      <c r="G1292" s="70" t="s">
        <v>286</v>
      </c>
      <c r="H1292" s="74">
        <v>1.06E-2</v>
      </c>
    </row>
    <row r="1293" spans="1:8" ht="15.6">
      <c r="A1293" s="468" t="s">
        <v>1721</v>
      </c>
      <c r="B1293" s="67">
        <v>24</v>
      </c>
      <c r="C1293" s="69" t="s">
        <v>52</v>
      </c>
      <c r="D1293" s="71" t="s">
        <v>22</v>
      </c>
      <c r="E1293" s="70" t="s">
        <v>286</v>
      </c>
      <c r="F1293" s="74">
        <v>1.2969999999999999</v>
      </c>
      <c r="G1293" s="70" t="s">
        <v>286</v>
      </c>
      <c r="H1293" s="74">
        <v>0.1356</v>
      </c>
    </row>
    <row r="1294" spans="1:8" ht="15.6">
      <c r="A1294" s="468" t="s">
        <v>1722</v>
      </c>
      <c r="B1294" s="67">
        <v>25</v>
      </c>
      <c r="C1294" s="69" t="s">
        <v>52</v>
      </c>
      <c r="D1294" s="71" t="s">
        <v>35</v>
      </c>
      <c r="E1294" s="70" t="s">
        <v>286</v>
      </c>
      <c r="F1294" s="74">
        <v>1.2436</v>
      </c>
      <c r="G1294" s="70" t="s">
        <v>286</v>
      </c>
      <c r="H1294" s="74">
        <v>0.12959999999999999</v>
      </c>
    </row>
    <row r="1295" spans="1:8" ht="15.6">
      <c r="A1295" s="468" t="s">
        <v>1723</v>
      </c>
      <c r="B1295" s="67">
        <v>26</v>
      </c>
      <c r="C1295" s="69" t="s">
        <v>52</v>
      </c>
      <c r="D1295" s="71" t="s">
        <v>24</v>
      </c>
      <c r="E1295" s="70" t="s">
        <v>286</v>
      </c>
      <c r="F1295" s="74">
        <v>1.4083000000000001</v>
      </c>
      <c r="G1295" s="70" t="s">
        <v>286</v>
      </c>
      <c r="H1295" s="74">
        <v>0.14810000000000001</v>
      </c>
    </row>
    <row r="1296" spans="1:8" ht="15.6">
      <c r="A1296" s="468" t="s">
        <v>1724</v>
      </c>
      <c r="B1296" s="67">
        <v>27</v>
      </c>
      <c r="C1296" s="69" t="s">
        <v>52</v>
      </c>
      <c r="D1296" s="71" t="s">
        <v>37</v>
      </c>
      <c r="E1296" s="70" t="s">
        <v>286</v>
      </c>
      <c r="F1296" s="74">
        <v>1.3099000000000001</v>
      </c>
      <c r="G1296" s="70" t="s">
        <v>286</v>
      </c>
      <c r="H1296" s="74">
        <v>0.1371</v>
      </c>
    </row>
    <row r="1297" spans="1:8" ht="15.6">
      <c r="A1297" s="468" t="s">
        <v>1725</v>
      </c>
      <c r="B1297" s="67">
        <v>28</v>
      </c>
      <c r="C1297" s="69" t="s">
        <v>52</v>
      </c>
      <c r="D1297" s="71" t="s">
        <v>38</v>
      </c>
      <c r="E1297" s="70" t="s">
        <v>286</v>
      </c>
      <c r="F1297" s="74">
        <v>0.96889999999999998</v>
      </c>
      <c r="G1297" s="70" t="s">
        <v>286</v>
      </c>
      <c r="H1297" s="74">
        <v>0.10680000000000001</v>
      </c>
    </row>
    <row r="1298" spans="1:8" ht="15.6">
      <c r="A1298" s="468" t="s">
        <v>1726</v>
      </c>
      <c r="B1298" s="67">
        <v>29</v>
      </c>
      <c r="C1298" s="69" t="s">
        <v>52</v>
      </c>
      <c r="D1298" s="71" t="s">
        <v>26</v>
      </c>
      <c r="E1298" s="70" t="s">
        <v>286</v>
      </c>
      <c r="F1298" s="74">
        <v>1.4187000000000001</v>
      </c>
      <c r="G1298" s="70" t="s">
        <v>286</v>
      </c>
      <c r="H1298" s="74">
        <v>0.14929999999999999</v>
      </c>
    </row>
    <row r="1299" spans="1:8" ht="15.6">
      <c r="A1299" s="468" t="s">
        <v>1727</v>
      </c>
      <c r="B1299" s="67">
        <v>30</v>
      </c>
      <c r="C1299" s="69" t="s">
        <v>52</v>
      </c>
      <c r="D1299" s="71" t="s">
        <v>52</v>
      </c>
      <c r="E1299" s="70" t="s">
        <v>286</v>
      </c>
      <c r="F1299" s="74">
        <v>9.2700000000000005E-2</v>
      </c>
      <c r="G1299" s="70" t="s">
        <v>286</v>
      </c>
      <c r="H1299" s="74">
        <v>1.1000000000000001E-3</v>
      </c>
    </row>
    <row r="1300" spans="1:8" ht="15.6">
      <c r="A1300" s="468" t="s">
        <v>1728</v>
      </c>
      <c r="B1300" s="67">
        <v>31</v>
      </c>
      <c r="C1300" s="69" t="s">
        <v>52</v>
      </c>
      <c r="D1300" s="71" t="s">
        <v>40</v>
      </c>
      <c r="E1300" s="70" t="s">
        <v>286</v>
      </c>
      <c r="F1300" s="74">
        <v>1.0403</v>
      </c>
      <c r="G1300" s="70" t="s">
        <v>286</v>
      </c>
      <c r="H1300" s="74">
        <v>0.1154</v>
      </c>
    </row>
    <row r="1301" spans="1:8" ht="15.6">
      <c r="A1301" s="468" t="s">
        <v>1729</v>
      </c>
      <c r="B1301" s="67">
        <v>32</v>
      </c>
      <c r="C1301" s="69" t="s">
        <v>52</v>
      </c>
      <c r="D1301" s="71" t="s">
        <v>34</v>
      </c>
      <c r="E1301" s="70" t="s">
        <v>286</v>
      </c>
      <c r="F1301" s="74">
        <v>0.30940000000000001</v>
      </c>
      <c r="G1301" s="70" t="s">
        <v>286</v>
      </c>
      <c r="H1301" s="74">
        <v>2.7199999999999998E-2</v>
      </c>
    </row>
    <row r="1302" spans="1:8" ht="15.6">
      <c r="A1302" s="468" t="s">
        <v>1730</v>
      </c>
      <c r="B1302" s="67">
        <v>33</v>
      </c>
      <c r="C1302" s="69" t="s">
        <v>52</v>
      </c>
      <c r="D1302" s="71" t="s">
        <v>54</v>
      </c>
      <c r="E1302" s="70" t="s">
        <v>286</v>
      </c>
      <c r="F1302" s="74">
        <v>1.1312</v>
      </c>
      <c r="G1302" s="70" t="s">
        <v>286</v>
      </c>
      <c r="H1302" s="74">
        <v>0.11700000000000001</v>
      </c>
    </row>
    <row r="1303" spans="1:8" ht="15.6">
      <c r="A1303" s="468" t="s">
        <v>1731</v>
      </c>
      <c r="B1303" s="67">
        <v>34</v>
      </c>
      <c r="C1303" s="69" t="s">
        <v>39</v>
      </c>
      <c r="D1303" s="71" t="s">
        <v>12</v>
      </c>
      <c r="E1303" s="70">
        <v>39.230499999999999</v>
      </c>
      <c r="F1303" s="74">
        <v>1.2898000000000001</v>
      </c>
      <c r="G1303" s="70">
        <v>4.4249900000000002</v>
      </c>
      <c r="H1303" s="74">
        <v>0.14549999999999999</v>
      </c>
    </row>
    <row r="1304" spans="1:8" ht="15.6">
      <c r="A1304" s="468" t="s">
        <v>1732</v>
      </c>
      <c r="B1304" s="67">
        <v>35</v>
      </c>
      <c r="C1304" s="69" t="s">
        <v>39</v>
      </c>
      <c r="D1304" s="71" t="s">
        <v>51</v>
      </c>
      <c r="E1304" s="70">
        <v>31.910430000000002</v>
      </c>
      <c r="F1304" s="74">
        <v>1.0490999999999999</v>
      </c>
      <c r="G1304" s="70">
        <v>3.5419200000000002</v>
      </c>
      <c r="H1304" s="74">
        <v>0.11650000000000001</v>
      </c>
    </row>
    <row r="1305" spans="1:8" ht="15.6">
      <c r="A1305" s="468" t="s">
        <v>1733</v>
      </c>
      <c r="B1305" s="67">
        <v>36</v>
      </c>
      <c r="C1305" s="69" t="s">
        <v>39</v>
      </c>
      <c r="D1305" s="71" t="s">
        <v>13</v>
      </c>
      <c r="E1305" s="70">
        <v>28.911650000000002</v>
      </c>
      <c r="F1305" s="74">
        <v>0.95050000000000001</v>
      </c>
      <c r="G1305" s="70">
        <v>3.1801499999999998</v>
      </c>
      <c r="H1305" s="74">
        <v>0.1046</v>
      </c>
    </row>
    <row r="1306" spans="1:8" ht="15.6">
      <c r="A1306" s="468" t="s">
        <v>1734</v>
      </c>
      <c r="B1306" s="67">
        <v>37</v>
      </c>
      <c r="C1306" s="69" t="s">
        <v>39</v>
      </c>
      <c r="D1306" s="71" t="s">
        <v>9</v>
      </c>
      <c r="E1306" s="70">
        <v>24.375</v>
      </c>
      <c r="F1306" s="74">
        <v>0.8014</v>
      </c>
      <c r="G1306" s="70">
        <v>2.6328900000000002</v>
      </c>
      <c r="H1306" s="74">
        <v>8.6599999999999996E-2</v>
      </c>
    </row>
    <row r="1307" spans="1:8" ht="15.6">
      <c r="A1307" s="468" t="s">
        <v>1735</v>
      </c>
      <c r="B1307" s="67">
        <v>38</v>
      </c>
      <c r="C1307" s="69" t="s">
        <v>39</v>
      </c>
      <c r="D1307" s="71" t="s">
        <v>14</v>
      </c>
      <c r="E1307" s="70">
        <v>24.35858</v>
      </c>
      <c r="F1307" s="74">
        <v>0.80079999999999996</v>
      </c>
      <c r="G1307" s="70">
        <v>2.63089</v>
      </c>
      <c r="H1307" s="74">
        <v>8.6499999999999994E-2</v>
      </c>
    </row>
    <row r="1308" spans="1:8" ht="15.6">
      <c r="A1308" s="468" t="s">
        <v>1736</v>
      </c>
      <c r="B1308" s="67">
        <v>39</v>
      </c>
      <c r="C1308" s="69" t="s">
        <v>39</v>
      </c>
      <c r="D1308" s="71" t="s">
        <v>33</v>
      </c>
      <c r="E1308" s="70">
        <v>32.840269999999997</v>
      </c>
      <c r="F1308" s="74">
        <v>1.0797000000000001</v>
      </c>
      <c r="G1308" s="70">
        <v>3.6540900000000001</v>
      </c>
      <c r="H1308" s="74">
        <v>0.1201</v>
      </c>
    </row>
    <row r="1309" spans="1:8" ht="15.6">
      <c r="A1309" s="468" t="s">
        <v>1737</v>
      </c>
      <c r="B1309" s="67">
        <v>40</v>
      </c>
      <c r="C1309" s="69" t="s">
        <v>39</v>
      </c>
      <c r="D1309" s="71" t="s">
        <v>25</v>
      </c>
      <c r="E1309" s="70">
        <v>35.386749999999999</v>
      </c>
      <c r="F1309" s="74">
        <v>1.1634</v>
      </c>
      <c r="G1309" s="70">
        <v>3.9613100000000001</v>
      </c>
      <c r="H1309" s="74">
        <v>0.13020000000000001</v>
      </c>
    </row>
    <row r="1310" spans="1:8" ht="15.6">
      <c r="A1310" s="468" t="s">
        <v>1738</v>
      </c>
      <c r="B1310" s="67">
        <v>41</v>
      </c>
      <c r="C1310" s="69" t="s">
        <v>39</v>
      </c>
      <c r="D1310" s="71" t="s">
        <v>31</v>
      </c>
      <c r="E1310" s="70">
        <v>25.725200000000001</v>
      </c>
      <c r="F1310" s="74">
        <v>0.8458</v>
      </c>
      <c r="G1310" s="70">
        <v>2.7957700000000001</v>
      </c>
      <c r="H1310" s="74">
        <v>9.1899999999999996E-2</v>
      </c>
    </row>
    <row r="1311" spans="1:8" ht="15.6">
      <c r="A1311" s="468" t="s">
        <v>1739</v>
      </c>
      <c r="B1311" s="67">
        <v>42</v>
      </c>
      <c r="C1311" s="69" t="s">
        <v>39</v>
      </c>
      <c r="D1311" s="71" t="s">
        <v>45</v>
      </c>
      <c r="E1311" s="70">
        <v>32.839350000000003</v>
      </c>
      <c r="F1311" s="74">
        <v>1.0797000000000001</v>
      </c>
      <c r="G1311" s="70">
        <v>3.6539899999999998</v>
      </c>
      <c r="H1311" s="74">
        <v>0.1201</v>
      </c>
    </row>
    <row r="1312" spans="1:8" ht="15.6">
      <c r="A1312" s="468" t="s">
        <v>1740</v>
      </c>
      <c r="B1312" s="67">
        <v>43</v>
      </c>
      <c r="C1312" s="69" t="s">
        <v>39</v>
      </c>
      <c r="D1312" s="71" t="s">
        <v>27</v>
      </c>
      <c r="E1312" s="70">
        <v>28.445969999999999</v>
      </c>
      <c r="F1312" s="74">
        <v>0.93520000000000003</v>
      </c>
      <c r="G1312" s="70">
        <v>3.1239499999999998</v>
      </c>
      <c r="H1312" s="74">
        <v>0.1027</v>
      </c>
    </row>
    <row r="1313" spans="1:8" ht="15.6">
      <c r="A1313" s="468" t="s">
        <v>1741</v>
      </c>
      <c r="B1313" s="67">
        <v>44</v>
      </c>
      <c r="C1313" s="69" t="s">
        <v>39</v>
      </c>
      <c r="D1313" s="71" t="s">
        <v>21</v>
      </c>
      <c r="E1313" s="70">
        <v>25.18074</v>
      </c>
      <c r="F1313" s="74">
        <v>0.82789999999999997</v>
      </c>
      <c r="G1313" s="70">
        <v>2.7300800000000001</v>
      </c>
      <c r="H1313" s="74">
        <v>8.9800000000000005E-2</v>
      </c>
    </row>
    <row r="1314" spans="1:8" ht="15.6">
      <c r="A1314" s="468" t="s">
        <v>1742</v>
      </c>
      <c r="B1314" s="67">
        <v>45</v>
      </c>
      <c r="C1314" s="69" t="s">
        <v>39</v>
      </c>
      <c r="D1314" s="71" t="s">
        <v>32</v>
      </c>
      <c r="E1314" s="70">
        <v>3.0030399999999999</v>
      </c>
      <c r="F1314" s="74">
        <v>9.8699999999999996E-2</v>
      </c>
      <c r="G1314" s="70">
        <v>5.459E-2</v>
      </c>
      <c r="H1314" s="74">
        <v>1.8E-3</v>
      </c>
    </row>
    <row r="1315" spans="1:8" ht="15.6">
      <c r="A1315" s="468" t="s">
        <v>1743</v>
      </c>
      <c r="B1315" s="67">
        <v>46</v>
      </c>
      <c r="C1315" s="69" t="s">
        <v>39</v>
      </c>
      <c r="D1315" s="71" t="s">
        <v>30</v>
      </c>
      <c r="E1315" s="70">
        <v>21.30292</v>
      </c>
      <c r="F1315" s="74">
        <v>0.70040000000000002</v>
      </c>
      <c r="G1315" s="70">
        <v>2.0857100000000002</v>
      </c>
      <c r="H1315" s="74">
        <v>6.8599999999999994E-2</v>
      </c>
    </row>
    <row r="1316" spans="1:8" ht="15.6">
      <c r="A1316" s="468" t="s">
        <v>1744</v>
      </c>
      <c r="B1316" s="67">
        <v>47</v>
      </c>
      <c r="C1316" s="69" t="s">
        <v>39</v>
      </c>
      <c r="D1316" s="71" t="s">
        <v>28</v>
      </c>
      <c r="E1316" s="70">
        <v>17.8704</v>
      </c>
      <c r="F1316" s="74">
        <v>0.58750000000000002</v>
      </c>
      <c r="G1316" s="70">
        <v>1.7000599999999999</v>
      </c>
      <c r="H1316" s="74">
        <v>5.5899999999999998E-2</v>
      </c>
    </row>
    <row r="1317" spans="1:8" ht="15.6">
      <c r="A1317" s="468" t="s">
        <v>1745</v>
      </c>
      <c r="B1317" s="67">
        <v>48</v>
      </c>
      <c r="C1317" s="69" t="s">
        <v>39</v>
      </c>
      <c r="D1317" s="71" t="s">
        <v>79</v>
      </c>
      <c r="E1317" s="70">
        <v>18.1767</v>
      </c>
      <c r="F1317" s="74">
        <v>0.59760000000000002</v>
      </c>
      <c r="G1317" s="70">
        <v>1.73448</v>
      </c>
      <c r="H1317" s="74">
        <v>5.7000000000000002E-2</v>
      </c>
    </row>
    <row r="1318" spans="1:8" ht="15.6">
      <c r="A1318" s="468" t="s">
        <v>1746</v>
      </c>
      <c r="B1318" s="67">
        <v>49</v>
      </c>
      <c r="C1318" s="69" t="s">
        <v>39</v>
      </c>
      <c r="D1318" s="71" t="s">
        <v>29</v>
      </c>
      <c r="E1318" s="70">
        <v>23.8126</v>
      </c>
      <c r="F1318" s="74">
        <v>0.78290000000000004</v>
      </c>
      <c r="G1318" s="70">
        <v>2.3676599999999999</v>
      </c>
      <c r="H1318" s="74">
        <v>7.7799999999999994E-2</v>
      </c>
    </row>
    <row r="1319" spans="1:8" ht="15.6">
      <c r="A1319" s="468" t="s">
        <v>1747</v>
      </c>
      <c r="B1319" s="67">
        <v>50</v>
      </c>
      <c r="C1319" s="69" t="s">
        <v>39</v>
      </c>
      <c r="D1319" s="71" t="s">
        <v>43</v>
      </c>
      <c r="E1319" s="70">
        <v>17.968340000000001</v>
      </c>
      <c r="F1319" s="74">
        <v>0.5907</v>
      </c>
      <c r="G1319" s="70">
        <v>1.71106</v>
      </c>
      <c r="H1319" s="74">
        <v>5.6300000000000003E-2</v>
      </c>
    </row>
    <row r="1320" spans="1:8" ht="15.6">
      <c r="A1320" s="468" t="s">
        <v>1748</v>
      </c>
      <c r="B1320" s="67">
        <v>51</v>
      </c>
      <c r="C1320" s="69" t="s">
        <v>39</v>
      </c>
      <c r="D1320" s="71" t="s">
        <v>18</v>
      </c>
      <c r="E1320" s="70">
        <v>19.287510000000001</v>
      </c>
      <c r="F1320" s="74">
        <v>0.6341</v>
      </c>
      <c r="G1320" s="70">
        <v>1.8592599999999999</v>
      </c>
      <c r="H1320" s="74">
        <v>6.1100000000000002E-2</v>
      </c>
    </row>
    <row r="1321" spans="1:8" ht="15.6">
      <c r="A1321" s="468" t="s">
        <v>1749</v>
      </c>
      <c r="B1321" s="67">
        <v>52</v>
      </c>
      <c r="C1321" s="69" t="s">
        <v>39</v>
      </c>
      <c r="D1321" s="71" t="s">
        <v>76</v>
      </c>
      <c r="E1321" s="70">
        <v>17.968340000000001</v>
      </c>
      <c r="F1321" s="74">
        <v>0.5907</v>
      </c>
      <c r="G1321" s="70">
        <v>1.71106</v>
      </c>
      <c r="H1321" s="74">
        <v>5.6300000000000003E-2</v>
      </c>
    </row>
    <row r="1322" spans="1:8" ht="15.6">
      <c r="A1322" s="468" t="s">
        <v>1750</v>
      </c>
      <c r="B1322" s="67">
        <v>53</v>
      </c>
      <c r="C1322" s="69" t="s">
        <v>39</v>
      </c>
      <c r="D1322" s="71" t="s">
        <v>19</v>
      </c>
      <c r="E1322" s="70">
        <v>26.30312</v>
      </c>
      <c r="F1322" s="74">
        <v>0.86480000000000001</v>
      </c>
      <c r="G1322" s="70">
        <v>2.6474799999999998</v>
      </c>
      <c r="H1322" s="74">
        <v>8.6999999999999994E-2</v>
      </c>
    </row>
    <row r="1323" spans="1:8" ht="15.6">
      <c r="A1323" s="468" t="s">
        <v>1751</v>
      </c>
      <c r="B1323" s="67">
        <v>54</v>
      </c>
      <c r="C1323" s="69" t="s">
        <v>39</v>
      </c>
      <c r="D1323" s="71" t="s">
        <v>23</v>
      </c>
      <c r="E1323" s="70">
        <v>23.47437</v>
      </c>
      <c r="F1323" s="74">
        <v>0.77180000000000004</v>
      </c>
      <c r="G1323" s="70">
        <v>2.3296600000000001</v>
      </c>
      <c r="H1323" s="74">
        <v>7.6600000000000001E-2</v>
      </c>
    </row>
    <row r="1324" spans="1:8" ht="15.6">
      <c r="A1324" s="468" t="s">
        <v>1752</v>
      </c>
      <c r="B1324" s="67">
        <v>55</v>
      </c>
      <c r="C1324" s="69" t="s">
        <v>39</v>
      </c>
      <c r="D1324" s="71" t="s">
        <v>20</v>
      </c>
      <c r="E1324" s="70">
        <v>29.532450000000001</v>
      </c>
      <c r="F1324" s="74">
        <v>0.97089999999999999</v>
      </c>
      <c r="G1324" s="70">
        <v>3.0102899999999999</v>
      </c>
      <c r="H1324" s="74">
        <v>9.9000000000000005E-2</v>
      </c>
    </row>
    <row r="1325" spans="1:8" ht="15.6">
      <c r="A1325" s="468" t="s">
        <v>1753</v>
      </c>
      <c r="B1325" s="67">
        <v>56</v>
      </c>
      <c r="C1325" s="69" t="s">
        <v>39</v>
      </c>
      <c r="D1325" s="71" t="s">
        <v>53</v>
      </c>
      <c r="E1325" s="70">
        <v>13.85783</v>
      </c>
      <c r="F1325" s="74">
        <v>0.4556</v>
      </c>
      <c r="G1325" s="70">
        <v>1.2492399999999999</v>
      </c>
      <c r="H1325" s="74">
        <v>4.1099999999999998E-2</v>
      </c>
    </row>
    <row r="1326" spans="1:8" ht="15.6">
      <c r="A1326" s="468" t="s">
        <v>1754</v>
      </c>
      <c r="B1326" s="67">
        <v>57</v>
      </c>
      <c r="C1326" s="69" t="s">
        <v>39</v>
      </c>
      <c r="D1326" s="71" t="s">
        <v>41</v>
      </c>
      <c r="E1326" s="70">
        <v>13.793049999999999</v>
      </c>
      <c r="F1326" s="74">
        <v>0.45350000000000001</v>
      </c>
      <c r="G1326" s="70">
        <v>1.24194</v>
      </c>
      <c r="H1326" s="74">
        <v>4.0800000000000003E-2</v>
      </c>
    </row>
    <row r="1327" spans="1:8" ht="15.6">
      <c r="A1327" s="468" t="s">
        <v>1755</v>
      </c>
      <c r="B1327" s="67">
        <v>58</v>
      </c>
      <c r="C1327" s="69" t="s">
        <v>39</v>
      </c>
      <c r="D1327" s="71" t="s">
        <v>36</v>
      </c>
      <c r="E1327" s="70">
        <v>19.337399999999999</v>
      </c>
      <c r="F1327" s="74">
        <v>0.63580000000000003</v>
      </c>
      <c r="G1327" s="70">
        <v>1.86486</v>
      </c>
      <c r="H1327" s="74">
        <v>6.13E-2</v>
      </c>
    </row>
    <row r="1328" spans="1:8" ht="15.6">
      <c r="A1328" s="468" t="s">
        <v>1756</v>
      </c>
      <c r="B1328" s="67">
        <v>59</v>
      </c>
      <c r="C1328" s="69" t="s">
        <v>39</v>
      </c>
      <c r="D1328" s="71" t="s">
        <v>15</v>
      </c>
      <c r="E1328" s="70">
        <v>26.470099999999999</v>
      </c>
      <c r="F1328" s="74">
        <v>0.87029999999999996</v>
      </c>
      <c r="G1328" s="70">
        <v>2.6662300000000001</v>
      </c>
      <c r="H1328" s="74">
        <v>8.77E-2</v>
      </c>
    </row>
    <row r="1329" spans="1:8" ht="15.6">
      <c r="A1329" s="468" t="s">
        <v>1757</v>
      </c>
      <c r="B1329" s="67">
        <v>60</v>
      </c>
      <c r="C1329" s="69" t="s">
        <v>39</v>
      </c>
      <c r="D1329" s="71" t="s">
        <v>16</v>
      </c>
      <c r="E1329" s="70">
        <v>32.923609999999996</v>
      </c>
      <c r="F1329" s="74">
        <v>1.0824</v>
      </c>
      <c r="G1329" s="70">
        <v>3.3913099999999998</v>
      </c>
      <c r="H1329" s="74">
        <v>0.1115</v>
      </c>
    </row>
    <row r="1330" spans="1:8" ht="15.6">
      <c r="A1330" s="468" t="s">
        <v>1758</v>
      </c>
      <c r="B1330" s="67">
        <v>61</v>
      </c>
      <c r="C1330" s="69" t="s">
        <v>39</v>
      </c>
      <c r="D1330" s="71" t="s">
        <v>17</v>
      </c>
      <c r="E1330" s="70">
        <v>21.964179999999999</v>
      </c>
      <c r="F1330" s="74">
        <v>0.72209999999999996</v>
      </c>
      <c r="G1330" s="70">
        <v>2.3420399999999999</v>
      </c>
      <c r="H1330" s="74">
        <v>7.6999999999999999E-2</v>
      </c>
    </row>
    <row r="1331" spans="1:8" ht="15.6">
      <c r="A1331" s="468" t="s">
        <v>1759</v>
      </c>
      <c r="B1331" s="67">
        <v>62</v>
      </c>
      <c r="C1331" s="69" t="s">
        <v>39</v>
      </c>
      <c r="D1331" s="71" t="s">
        <v>10</v>
      </c>
      <c r="E1331" s="70">
        <v>21.964179999999999</v>
      </c>
      <c r="F1331" s="74">
        <v>0.72209999999999996</v>
      </c>
      <c r="G1331" s="70">
        <v>2.3420399999999999</v>
      </c>
      <c r="H1331" s="74">
        <v>7.6999999999999999E-2</v>
      </c>
    </row>
    <row r="1332" spans="1:8" ht="15.6">
      <c r="A1332" s="468" t="s">
        <v>1760</v>
      </c>
      <c r="B1332" s="67">
        <v>63</v>
      </c>
      <c r="C1332" s="69" t="s">
        <v>39</v>
      </c>
      <c r="D1332" s="71" t="s">
        <v>22</v>
      </c>
      <c r="E1332" s="70">
        <v>25.898579999999999</v>
      </c>
      <c r="F1332" s="74">
        <v>0.85150000000000003</v>
      </c>
      <c r="G1332" s="70">
        <v>2.6020300000000001</v>
      </c>
      <c r="H1332" s="74">
        <v>8.5599999999999996E-2</v>
      </c>
    </row>
    <row r="1333" spans="1:8" ht="15.6">
      <c r="A1333" s="468" t="s">
        <v>1761</v>
      </c>
      <c r="B1333" s="67">
        <v>64</v>
      </c>
      <c r="C1333" s="69" t="s">
        <v>39</v>
      </c>
      <c r="D1333" s="71" t="s">
        <v>35</v>
      </c>
      <c r="E1333" s="70">
        <v>17.276060000000001</v>
      </c>
      <c r="F1333" s="74">
        <v>0.56799999999999995</v>
      </c>
      <c r="G1333" s="70">
        <v>1.6332800000000001</v>
      </c>
      <c r="H1333" s="74">
        <v>5.3699999999999998E-2</v>
      </c>
    </row>
    <row r="1334" spans="1:8" ht="15.6">
      <c r="A1334" s="468" t="s">
        <v>1762</v>
      </c>
      <c r="B1334" s="67">
        <v>65</v>
      </c>
      <c r="C1334" s="69" t="s">
        <v>39</v>
      </c>
      <c r="D1334" s="71" t="s">
        <v>24</v>
      </c>
      <c r="E1334" s="70">
        <v>29.253530000000001</v>
      </c>
      <c r="F1334" s="74">
        <v>0.96179999999999999</v>
      </c>
      <c r="G1334" s="70">
        <v>2.9789599999999998</v>
      </c>
      <c r="H1334" s="74">
        <v>9.7900000000000001E-2</v>
      </c>
    </row>
    <row r="1335" spans="1:8" ht="15.6">
      <c r="A1335" s="468" t="s">
        <v>1763</v>
      </c>
      <c r="B1335" s="67">
        <v>66</v>
      </c>
      <c r="C1335" s="69" t="s">
        <v>39</v>
      </c>
      <c r="D1335" s="71" t="s">
        <v>37</v>
      </c>
      <c r="E1335" s="70">
        <v>19.293900000000001</v>
      </c>
      <c r="F1335" s="74">
        <v>0.63429999999999997</v>
      </c>
      <c r="G1335" s="70">
        <v>1.85999</v>
      </c>
      <c r="H1335" s="74">
        <v>6.1199999999999997E-2</v>
      </c>
    </row>
    <row r="1336" spans="1:8" ht="15.6">
      <c r="A1336" s="468" t="s">
        <v>1764</v>
      </c>
      <c r="B1336" s="67">
        <v>67</v>
      </c>
      <c r="C1336" s="69" t="s">
        <v>39</v>
      </c>
      <c r="D1336" s="71" t="s">
        <v>38</v>
      </c>
      <c r="E1336" s="70">
        <v>22.799119999999998</v>
      </c>
      <c r="F1336" s="74">
        <v>0.74960000000000004</v>
      </c>
      <c r="G1336" s="70">
        <v>2.4427699999999999</v>
      </c>
      <c r="H1336" s="74">
        <v>8.0299999999999996E-2</v>
      </c>
    </row>
    <row r="1337" spans="1:8" ht="15.6">
      <c r="A1337" s="468" t="s">
        <v>1765</v>
      </c>
      <c r="B1337" s="67">
        <v>68</v>
      </c>
      <c r="C1337" s="69" t="s">
        <v>39</v>
      </c>
      <c r="D1337" s="71" t="s">
        <v>26</v>
      </c>
      <c r="E1337" s="70">
        <v>29.569870000000002</v>
      </c>
      <c r="F1337" s="74">
        <v>0.97219999999999995</v>
      </c>
      <c r="G1337" s="70">
        <v>3.0145</v>
      </c>
      <c r="H1337" s="74">
        <v>9.9099999999999994E-2</v>
      </c>
    </row>
    <row r="1338" spans="1:8" ht="15.6">
      <c r="A1338" s="468" t="s">
        <v>1766</v>
      </c>
      <c r="B1338" s="67">
        <v>69</v>
      </c>
      <c r="C1338" s="69" t="s">
        <v>39</v>
      </c>
      <c r="D1338" s="71" t="s">
        <v>52</v>
      </c>
      <c r="E1338" s="70">
        <v>24.35858</v>
      </c>
      <c r="F1338" s="74">
        <v>0.80079999999999996</v>
      </c>
      <c r="G1338" s="70">
        <v>2.63089</v>
      </c>
      <c r="H1338" s="74">
        <v>8.6499999999999994E-2</v>
      </c>
    </row>
    <row r="1339" spans="1:8" ht="15.6">
      <c r="A1339" s="468" t="s">
        <v>1767</v>
      </c>
      <c r="B1339" s="67">
        <v>70</v>
      </c>
      <c r="C1339" s="69" t="s">
        <v>39</v>
      </c>
      <c r="D1339" s="71" t="s">
        <v>40</v>
      </c>
      <c r="E1339" s="70">
        <v>12.503679999999999</v>
      </c>
      <c r="F1339" s="74">
        <v>0.41110000000000002</v>
      </c>
      <c r="G1339" s="70">
        <v>1.2007399999999999</v>
      </c>
      <c r="H1339" s="74">
        <v>3.95E-2</v>
      </c>
    </row>
    <row r="1340" spans="1:8" ht="15.6">
      <c r="A1340" s="468" t="s">
        <v>1768</v>
      </c>
      <c r="B1340" s="67">
        <v>71</v>
      </c>
      <c r="C1340" s="69" t="s">
        <v>39</v>
      </c>
      <c r="D1340" s="71" t="s">
        <v>34</v>
      </c>
      <c r="E1340" s="70">
        <v>28.911650000000002</v>
      </c>
      <c r="F1340" s="74">
        <v>0.95050000000000001</v>
      </c>
      <c r="G1340" s="70">
        <v>3.1801499999999998</v>
      </c>
      <c r="H1340" s="74">
        <v>0.1046</v>
      </c>
    </row>
    <row r="1341" spans="1:8" ht="15.6">
      <c r="A1341" s="468" t="s">
        <v>1769</v>
      </c>
      <c r="B1341" s="67">
        <v>72</v>
      </c>
      <c r="C1341" s="69" t="s">
        <v>39</v>
      </c>
      <c r="D1341" s="71" t="s">
        <v>54</v>
      </c>
      <c r="E1341" s="70">
        <v>13.85783</v>
      </c>
      <c r="F1341" s="74">
        <v>0.4556</v>
      </c>
      <c r="G1341" s="70">
        <v>1.2492399999999999</v>
      </c>
      <c r="H1341" s="74">
        <v>4.1099999999999998E-2</v>
      </c>
    </row>
    <row r="1342" spans="1:8" ht="15.6">
      <c r="A1342" s="468" t="s">
        <v>1770</v>
      </c>
      <c r="B1342" s="67">
        <v>73</v>
      </c>
      <c r="C1342" s="69" t="s">
        <v>40</v>
      </c>
      <c r="D1342" s="71" t="s">
        <v>12</v>
      </c>
      <c r="E1342" s="70">
        <v>66.653260000000003</v>
      </c>
      <c r="F1342" s="74">
        <v>2.1913</v>
      </c>
      <c r="G1342" s="70">
        <v>5.3035500000000004</v>
      </c>
      <c r="H1342" s="74">
        <v>0.1744</v>
      </c>
    </row>
    <row r="1343" spans="1:8" ht="15.6">
      <c r="A1343" s="468" t="s">
        <v>1771</v>
      </c>
      <c r="B1343" s="67">
        <v>74</v>
      </c>
      <c r="C1343" s="69" t="s">
        <v>40</v>
      </c>
      <c r="D1343" s="71" t="s">
        <v>51</v>
      </c>
      <c r="E1343" s="70">
        <v>56.162849999999999</v>
      </c>
      <c r="F1343" s="74">
        <v>1.8465</v>
      </c>
      <c r="G1343" s="70">
        <v>4.4204299999999996</v>
      </c>
      <c r="H1343" s="74">
        <v>0.14530000000000001</v>
      </c>
    </row>
    <row r="1344" spans="1:8" ht="15.6">
      <c r="A1344" s="468" t="s">
        <v>1772</v>
      </c>
      <c r="B1344" s="67">
        <v>75</v>
      </c>
      <c r="C1344" s="69" t="s">
        <v>40</v>
      </c>
      <c r="D1344" s="71" t="s">
        <v>13</v>
      </c>
      <c r="E1344" s="70">
        <v>51.866500000000002</v>
      </c>
      <c r="F1344" s="74">
        <v>1.7052</v>
      </c>
      <c r="G1344" s="70">
        <v>4.0587099999999996</v>
      </c>
      <c r="H1344" s="74">
        <v>0.13339999999999999</v>
      </c>
    </row>
    <row r="1345" spans="1:8" ht="15.6">
      <c r="A1345" s="468" t="s">
        <v>1773</v>
      </c>
      <c r="B1345" s="67">
        <v>76</v>
      </c>
      <c r="C1345" s="69" t="s">
        <v>40</v>
      </c>
      <c r="D1345" s="71" t="s">
        <v>9</v>
      </c>
      <c r="E1345" s="70">
        <v>45.364939999999997</v>
      </c>
      <c r="F1345" s="74">
        <v>1.4915</v>
      </c>
      <c r="G1345" s="70">
        <v>3.5114000000000001</v>
      </c>
      <c r="H1345" s="74">
        <v>0.1154</v>
      </c>
    </row>
    <row r="1346" spans="1:8" ht="15.6">
      <c r="A1346" s="468" t="s">
        <v>1774</v>
      </c>
      <c r="B1346" s="67">
        <v>77</v>
      </c>
      <c r="C1346" s="69" t="s">
        <v>40</v>
      </c>
      <c r="D1346" s="71" t="s">
        <v>14</v>
      </c>
      <c r="E1346" s="70">
        <v>45.341819999999998</v>
      </c>
      <c r="F1346" s="74">
        <v>1.4906999999999999</v>
      </c>
      <c r="G1346" s="70">
        <v>3.5094500000000002</v>
      </c>
      <c r="H1346" s="74">
        <v>0.1154</v>
      </c>
    </row>
    <row r="1347" spans="1:8" ht="15.6">
      <c r="A1347" s="468" t="s">
        <v>1775</v>
      </c>
      <c r="B1347" s="67">
        <v>1</v>
      </c>
      <c r="C1347" s="69" t="s">
        <v>40</v>
      </c>
      <c r="D1347" s="71" t="s">
        <v>33</v>
      </c>
      <c r="E1347" s="70">
        <v>45.344560000000001</v>
      </c>
      <c r="F1347" s="74">
        <v>1.4907999999999999</v>
      </c>
      <c r="G1347" s="70">
        <v>3.50969</v>
      </c>
      <c r="H1347" s="74">
        <v>0.1154</v>
      </c>
    </row>
    <row r="1348" spans="1:8" ht="15.6">
      <c r="A1348" s="468" t="s">
        <v>1776</v>
      </c>
      <c r="B1348" s="67">
        <v>2</v>
      </c>
      <c r="C1348" s="69" t="s">
        <v>40</v>
      </c>
      <c r="D1348" s="71" t="s">
        <v>25</v>
      </c>
      <c r="E1348" s="70">
        <v>41.180210000000002</v>
      </c>
      <c r="F1348" s="74">
        <v>1.3539000000000001</v>
      </c>
      <c r="G1348" s="70">
        <v>3.1591</v>
      </c>
      <c r="H1348" s="74">
        <v>0.10390000000000001</v>
      </c>
    </row>
    <row r="1349" spans="1:8" ht="15.6">
      <c r="A1349" s="468" t="s">
        <v>1777</v>
      </c>
      <c r="B1349" s="67">
        <v>3</v>
      </c>
      <c r="C1349" s="69" t="s">
        <v>40</v>
      </c>
      <c r="D1349" s="71" t="s">
        <v>31</v>
      </c>
      <c r="E1349" s="70">
        <v>22.98922</v>
      </c>
      <c r="F1349" s="74">
        <v>0.75580000000000003</v>
      </c>
      <c r="G1349" s="70">
        <v>1.62768</v>
      </c>
      <c r="H1349" s="74">
        <v>5.3499999999999999E-2</v>
      </c>
    </row>
    <row r="1350" spans="1:8" ht="15.6">
      <c r="A1350" s="468" t="s">
        <v>1778</v>
      </c>
      <c r="B1350" s="67">
        <v>4</v>
      </c>
      <c r="C1350" s="69" t="s">
        <v>40</v>
      </c>
      <c r="D1350" s="71" t="s">
        <v>45</v>
      </c>
      <c r="E1350" s="70">
        <v>33.183369999999996</v>
      </c>
      <c r="F1350" s="74">
        <v>1.091</v>
      </c>
      <c r="G1350" s="70">
        <v>2.4858600000000002</v>
      </c>
      <c r="H1350" s="74">
        <v>8.1699999999999995E-2</v>
      </c>
    </row>
    <row r="1351" spans="1:8" ht="15.6">
      <c r="A1351" s="468" t="s">
        <v>1779</v>
      </c>
      <c r="B1351" s="67">
        <v>5</v>
      </c>
      <c r="C1351" s="69" t="s">
        <v>40</v>
      </c>
      <c r="D1351" s="71" t="s">
        <v>27</v>
      </c>
      <c r="E1351" s="70">
        <v>26.887119999999999</v>
      </c>
      <c r="F1351" s="74">
        <v>0.88400000000000001</v>
      </c>
      <c r="G1351" s="70">
        <v>1.9558199999999999</v>
      </c>
      <c r="H1351" s="74">
        <v>6.4299999999999996E-2</v>
      </c>
    </row>
    <row r="1352" spans="1:8" ht="15.6">
      <c r="A1352" s="468" t="s">
        <v>1780</v>
      </c>
      <c r="B1352" s="67">
        <v>6</v>
      </c>
      <c r="C1352" s="69" t="s">
        <v>40</v>
      </c>
      <c r="D1352" s="71" t="s">
        <v>21</v>
      </c>
      <c r="E1352" s="70">
        <v>22.20843</v>
      </c>
      <c r="F1352" s="74">
        <v>0.73009999999999997</v>
      </c>
      <c r="G1352" s="70">
        <v>1.56196</v>
      </c>
      <c r="H1352" s="74">
        <v>5.1400000000000001E-2</v>
      </c>
    </row>
    <row r="1353" spans="1:8" ht="15.6">
      <c r="A1353" s="468" t="s">
        <v>1781</v>
      </c>
      <c r="B1353" s="67">
        <v>7</v>
      </c>
      <c r="C1353" s="69" t="s">
        <v>40</v>
      </c>
      <c r="D1353" s="71" t="s">
        <v>32</v>
      </c>
      <c r="E1353" s="70">
        <v>18.178830000000001</v>
      </c>
      <c r="F1353" s="74">
        <v>0.59770000000000001</v>
      </c>
      <c r="G1353" s="70">
        <v>1.2227399999999999</v>
      </c>
      <c r="H1353" s="74">
        <v>4.02E-2</v>
      </c>
    </row>
    <row r="1354" spans="1:8" ht="15.6">
      <c r="A1354" s="468" t="s">
        <v>1782</v>
      </c>
      <c r="B1354" s="67">
        <v>8</v>
      </c>
      <c r="C1354" s="69" t="s">
        <v>40</v>
      </c>
      <c r="D1354" s="71" t="s">
        <v>30</v>
      </c>
      <c r="E1354" s="70">
        <v>14.55438</v>
      </c>
      <c r="F1354" s="74">
        <v>0.47849999999999998</v>
      </c>
      <c r="G1354" s="70">
        <v>0.91756000000000004</v>
      </c>
      <c r="H1354" s="74">
        <v>3.0200000000000001E-2</v>
      </c>
    </row>
    <row r="1355" spans="1:8" ht="15.6">
      <c r="A1355" s="468" t="s">
        <v>1783</v>
      </c>
      <c r="B1355" s="67">
        <v>9</v>
      </c>
      <c r="C1355" s="69" t="s">
        <v>40</v>
      </c>
      <c r="D1355" s="71" t="s">
        <v>28</v>
      </c>
      <c r="E1355" s="70">
        <v>9.9733199999999993</v>
      </c>
      <c r="F1355" s="74">
        <v>0.32790000000000002</v>
      </c>
      <c r="G1355" s="70">
        <v>0.53193999999999997</v>
      </c>
      <c r="H1355" s="74">
        <v>1.7500000000000002E-2</v>
      </c>
    </row>
    <row r="1356" spans="1:8" ht="15.6">
      <c r="A1356" s="468" t="s">
        <v>1784</v>
      </c>
      <c r="B1356" s="67">
        <v>10</v>
      </c>
      <c r="C1356" s="69" t="s">
        <v>40</v>
      </c>
      <c r="D1356" s="71" t="s">
        <v>79</v>
      </c>
      <c r="E1356" s="70">
        <v>10.382429999999999</v>
      </c>
      <c r="F1356" s="74">
        <v>0.34129999999999999</v>
      </c>
      <c r="G1356" s="70">
        <v>0.56635999999999997</v>
      </c>
      <c r="H1356" s="74">
        <v>1.8599999999999998E-2</v>
      </c>
    </row>
    <row r="1357" spans="1:8" ht="15.6">
      <c r="A1357" s="468" t="s">
        <v>1785</v>
      </c>
      <c r="B1357" s="67">
        <v>11</v>
      </c>
      <c r="C1357" s="69" t="s">
        <v>40</v>
      </c>
      <c r="D1357" s="71" t="s">
        <v>29</v>
      </c>
      <c r="E1357" s="70">
        <v>17.90325</v>
      </c>
      <c r="F1357" s="74">
        <v>0.58860000000000001</v>
      </c>
      <c r="G1357" s="70">
        <v>1.1995400000000001</v>
      </c>
      <c r="H1357" s="74">
        <v>3.9399999999999998E-2</v>
      </c>
    </row>
    <row r="1358" spans="1:8" ht="15.6">
      <c r="A1358" s="468" t="s">
        <v>1786</v>
      </c>
      <c r="B1358" s="67">
        <v>12</v>
      </c>
      <c r="C1358" s="69" t="s">
        <v>40</v>
      </c>
      <c r="D1358" s="71" t="s">
        <v>43</v>
      </c>
      <c r="E1358" s="70">
        <v>10.103809999999999</v>
      </c>
      <c r="F1358" s="74">
        <v>0.3322</v>
      </c>
      <c r="G1358" s="70">
        <v>0.54293000000000002</v>
      </c>
      <c r="H1358" s="74">
        <v>1.7899999999999999E-2</v>
      </c>
    </row>
    <row r="1359" spans="1:8" ht="15.6">
      <c r="A1359" s="468" t="s">
        <v>1787</v>
      </c>
      <c r="B1359" s="67">
        <v>13</v>
      </c>
      <c r="C1359" s="69" t="s">
        <v>40</v>
      </c>
      <c r="D1359" s="71" t="s">
        <v>19</v>
      </c>
      <c r="E1359" s="70">
        <v>21.226880000000001</v>
      </c>
      <c r="F1359" s="74">
        <v>0.69789999999999996</v>
      </c>
      <c r="G1359" s="70">
        <v>1.47929</v>
      </c>
      <c r="H1359" s="74">
        <v>4.8599999999999997E-2</v>
      </c>
    </row>
    <row r="1360" spans="1:8" ht="15.6">
      <c r="A1360" s="468" t="s">
        <v>1788</v>
      </c>
      <c r="B1360" s="67">
        <v>14</v>
      </c>
      <c r="C1360" s="69" t="s">
        <v>40</v>
      </c>
      <c r="D1360" s="71" t="s">
        <v>18</v>
      </c>
      <c r="E1360" s="70">
        <v>11.864330000000001</v>
      </c>
      <c r="F1360" s="74">
        <v>0.3901</v>
      </c>
      <c r="G1360" s="70">
        <v>0.69113000000000002</v>
      </c>
      <c r="H1360" s="74">
        <v>2.2700000000000001E-2</v>
      </c>
    </row>
    <row r="1361" spans="1:8" ht="15.6">
      <c r="A1361" s="468" t="s">
        <v>1789</v>
      </c>
      <c r="B1361" s="67">
        <v>15</v>
      </c>
      <c r="C1361" s="69" t="s">
        <v>40</v>
      </c>
      <c r="D1361" s="71" t="s">
        <v>76</v>
      </c>
      <c r="E1361" s="70">
        <v>10.103809999999999</v>
      </c>
      <c r="F1361" s="74">
        <v>0.3322</v>
      </c>
      <c r="G1361" s="70">
        <v>0.54293000000000002</v>
      </c>
      <c r="H1361" s="74">
        <v>1.7899999999999999E-2</v>
      </c>
    </row>
    <row r="1362" spans="1:8" ht="15.6">
      <c r="A1362" s="468" t="s">
        <v>1790</v>
      </c>
      <c r="B1362" s="67">
        <v>16</v>
      </c>
      <c r="C1362" s="69" t="s">
        <v>40</v>
      </c>
      <c r="D1362" s="71" t="s">
        <v>23</v>
      </c>
      <c r="E1362" s="70">
        <v>17.452169999999999</v>
      </c>
      <c r="F1362" s="74">
        <v>0.57379999999999998</v>
      </c>
      <c r="G1362" s="70">
        <v>1.16153</v>
      </c>
      <c r="H1362" s="74">
        <v>3.8199999999999998E-2</v>
      </c>
    </row>
    <row r="1363" spans="1:8" ht="15.6">
      <c r="A1363" s="468" t="s">
        <v>1791</v>
      </c>
      <c r="B1363" s="67">
        <v>17</v>
      </c>
      <c r="C1363" s="69" t="s">
        <v>40</v>
      </c>
      <c r="D1363" s="71" t="s">
        <v>20</v>
      </c>
      <c r="E1363" s="70">
        <v>25.536619999999999</v>
      </c>
      <c r="F1363" s="74">
        <v>0.83960000000000001</v>
      </c>
      <c r="G1363" s="70">
        <v>1.8421400000000001</v>
      </c>
      <c r="H1363" s="74">
        <v>6.0600000000000001E-2</v>
      </c>
    </row>
    <row r="1364" spans="1:8" ht="15.6">
      <c r="A1364" s="468" t="s">
        <v>1792</v>
      </c>
      <c r="B1364" s="67">
        <v>18</v>
      </c>
      <c r="C1364" s="69" t="s">
        <v>40</v>
      </c>
      <c r="D1364" s="71" t="s">
        <v>53</v>
      </c>
      <c r="E1364" s="70">
        <v>4.6181599999999996</v>
      </c>
      <c r="F1364" s="74">
        <v>0.15179999999999999</v>
      </c>
      <c r="G1364" s="70">
        <v>8.1119999999999998E-2</v>
      </c>
      <c r="H1364" s="74">
        <v>2.7000000000000001E-3</v>
      </c>
    </row>
    <row r="1365" spans="1:8" ht="15.6">
      <c r="A1365" s="468" t="s">
        <v>1793</v>
      </c>
      <c r="B1365" s="67">
        <v>19</v>
      </c>
      <c r="C1365" s="69" t="s">
        <v>40</v>
      </c>
      <c r="D1365" s="71" t="s">
        <v>41</v>
      </c>
      <c r="E1365" s="70">
        <v>4.5311700000000004</v>
      </c>
      <c r="F1365" s="74">
        <v>0.14899999999999999</v>
      </c>
      <c r="G1365" s="70">
        <v>7.3789999999999994E-2</v>
      </c>
      <c r="H1365" s="74">
        <v>2.3999999999999998E-3</v>
      </c>
    </row>
    <row r="1366" spans="1:8" ht="15.6">
      <c r="A1366" s="468" t="s">
        <v>1794</v>
      </c>
      <c r="B1366" s="67">
        <v>20</v>
      </c>
      <c r="C1366" s="69" t="s">
        <v>40</v>
      </c>
      <c r="D1366" s="71" t="s">
        <v>36</v>
      </c>
      <c r="E1366" s="70">
        <v>11.93094</v>
      </c>
      <c r="F1366" s="74">
        <v>0.39229999999999998</v>
      </c>
      <c r="G1366" s="70">
        <v>0.69672999999999996</v>
      </c>
      <c r="H1366" s="74">
        <v>2.29E-2</v>
      </c>
    </row>
    <row r="1367" spans="1:8" ht="15.6">
      <c r="A1367" s="468" t="s">
        <v>1795</v>
      </c>
      <c r="B1367" s="67">
        <v>21</v>
      </c>
      <c r="C1367" s="69" t="s">
        <v>40</v>
      </c>
      <c r="D1367" s="71" t="s">
        <v>15</v>
      </c>
      <c r="E1367" s="70">
        <v>21.45044</v>
      </c>
      <c r="F1367" s="74">
        <v>0.70520000000000005</v>
      </c>
      <c r="G1367" s="70">
        <v>1.4981199999999999</v>
      </c>
      <c r="H1367" s="74">
        <v>4.9299999999999997E-2</v>
      </c>
    </row>
    <row r="1368" spans="1:8" ht="15.6">
      <c r="A1368" s="468" t="s">
        <v>1796</v>
      </c>
      <c r="B1368" s="67">
        <v>22</v>
      </c>
      <c r="C1368" s="69" t="s">
        <v>40</v>
      </c>
      <c r="D1368" s="71" t="s">
        <v>16</v>
      </c>
      <c r="E1368" s="70">
        <v>30.063230000000001</v>
      </c>
      <c r="F1368" s="74">
        <v>0.98839999999999995</v>
      </c>
      <c r="G1368" s="70">
        <v>2.2231800000000002</v>
      </c>
      <c r="H1368" s="74">
        <v>7.3099999999999998E-2</v>
      </c>
    </row>
    <row r="1369" spans="1:8" ht="15.6">
      <c r="A1369" s="468" t="s">
        <v>1797</v>
      </c>
      <c r="B1369" s="67">
        <v>23</v>
      </c>
      <c r="C1369" s="69" t="s">
        <v>40</v>
      </c>
      <c r="D1369" s="71" t="s">
        <v>17</v>
      </c>
      <c r="E1369" s="70">
        <v>41.910820000000001</v>
      </c>
      <c r="F1369" s="74">
        <v>1.3778999999999999</v>
      </c>
      <c r="G1369" s="70">
        <v>3.2205900000000001</v>
      </c>
      <c r="H1369" s="74">
        <v>0.10589999999999999</v>
      </c>
    </row>
    <row r="1370" spans="1:8" ht="15.6">
      <c r="A1370" s="468" t="s">
        <v>1798</v>
      </c>
      <c r="B1370" s="67">
        <v>24</v>
      </c>
      <c r="C1370" s="69" t="s">
        <v>40</v>
      </c>
      <c r="D1370" s="71" t="s">
        <v>10</v>
      </c>
      <c r="E1370" s="70">
        <v>41.910820000000001</v>
      </c>
      <c r="F1370" s="74">
        <v>1.3778999999999999</v>
      </c>
      <c r="G1370" s="70">
        <v>3.2205900000000001</v>
      </c>
      <c r="H1370" s="74">
        <v>0.10589999999999999</v>
      </c>
    </row>
    <row r="1371" spans="1:8" ht="15.6">
      <c r="A1371" s="468" t="s">
        <v>1799</v>
      </c>
      <c r="B1371" s="67">
        <v>25</v>
      </c>
      <c r="C1371" s="69" t="s">
        <v>40</v>
      </c>
      <c r="D1371" s="71" t="s">
        <v>22</v>
      </c>
      <c r="E1371" s="70">
        <v>20.426010000000002</v>
      </c>
      <c r="F1371" s="74">
        <v>0.67149999999999999</v>
      </c>
      <c r="G1371" s="70">
        <v>1.4118999999999999</v>
      </c>
      <c r="H1371" s="74">
        <v>4.6399999999999997E-2</v>
      </c>
    </row>
    <row r="1372" spans="1:8" ht="15.6">
      <c r="A1372" s="468" t="s">
        <v>1800</v>
      </c>
      <c r="B1372" s="67">
        <v>26</v>
      </c>
      <c r="C1372" s="69" t="s">
        <v>40</v>
      </c>
      <c r="D1372" s="71" t="s">
        <v>35</v>
      </c>
      <c r="E1372" s="70">
        <v>9.1800499999999996</v>
      </c>
      <c r="F1372" s="74">
        <v>0.30180000000000001</v>
      </c>
      <c r="G1372" s="70">
        <v>0.46515000000000001</v>
      </c>
      <c r="H1372" s="74">
        <v>1.5299999999999999E-2</v>
      </c>
    </row>
    <row r="1373" spans="1:8" ht="15.6">
      <c r="A1373" s="468" t="s">
        <v>1801</v>
      </c>
      <c r="B1373" s="67">
        <v>27</v>
      </c>
      <c r="C1373" s="69" t="s">
        <v>40</v>
      </c>
      <c r="D1373" s="71" t="s">
        <v>24</v>
      </c>
      <c r="E1373" s="70">
        <v>25.164929999999998</v>
      </c>
      <c r="F1373" s="74">
        <v>0.82730000000000004</v>
      </c>
      <c r="G1373" s="70">
        <v>1.8108599999999999</v>
      </c>
      <c r="H1373" s="74">
        <v>5.9499999999999997E-2</v>
      </c>
    </row>
    <row r="1374" spans="1:8" ht="15.6">
      <c r="A1374" s="468" t="s">
        <v>1802</v>
      </c>
      <c r="B1374" s="67">
        <v>28</v>
      </c>
      <c r="C1374" s="69" t="s">
        <v>40</v>
      </c>
      <c r="D1374" s="71" t="s">
        <v>37</v>
      </c>
      <c r="E1374" s="70">
        <v>11.873150000000001</v>
      </c>
      <c r="F1374" s="74">
        <v>0.39040000000000002</v>
      </c>
      <c r="G1374" s="70">
        <v>0.69186999999999999</v>
      </c>
      <c r="H1374" s="74">
        <v>2.2800000000000001E-2</v>
      </c>
    </row>
    <row r="1375" spans="1:8" ht="15.6">
      <c r="A1375" s="468" t="s">
        <v>1803</v>
      </c>
      <c r="B1375" s="67">
        <v>29</v>
      </c>
      <c r="C1375" s="69" t="s">
        <v>40</v>
      </c>
      <c r="D1375" s="71" t="s">
        <v>38</v>
      </c>
      <c r="E1375" s="70">
        <v>18.795680000000001</v>
      </c>
      <c r="F1375" s="74">
        <v>0.6179</v>
      </c>
      <c r="G1375" s="70">
        <v>1.2746500000000001</v>
      </c>
      <c r="H1375" s="74">
        <v>4.19E-2</v>
      </c>
    </row>
    <row r="1376" spans="1:8" ht="15.6">
      <c r="A1376" s="468" t="s">
        <v>1804</v>
      </c>
      <c r="B1376" s="67">
        <v>30</v>
      </c>
      <c r="C1376" s="69" t="s">
        <v>40</v>
      </c>
      <c r="D1376" s="71" t="s">
        <v>26</v>
      </c>
      <c r="E1376" s="70">
        <v>25.587409999999998</v>
      </c>
      <c r="F1376" s="74">
        <v>0.84119999999999995</v>
      </c>
      <c r="G1376" s="70">
        <v>1.84639</v>
      </c>
      <c r="H1376" s="74">
        <v>6.0699999999999997E-2</v>
      </c>
    </row>
    <row r="1377" spans="1:8" ht="15.6">
      <c r="A1377" s="468" t="s">
        <v>1805</v>
      </c>
      <c r="B1377" s="67">
        <v>31</v>
      </c>
      <c r="C1377" s="69" t="s">
        <v>40</v>
      </c>
      <c r="D1377" s="71" t="s">
        <v>52</v>
      </c>
      <c r="E1377" s="70">
        <v>45.341819999999998</v>
      </c>
      <c r="F1377" s="74">
        <v>1.4906999999999999</v>
      </c>
      <c r="G1377" s="70">
        <v>3.5094500000000002</v>
      </c>
      <c r="H1377" s="74">
        <v>0.1154</v>
      </c>
    </row>
    <row r="1378" spans="1:8" ht="15.6">
      <c r="A1378" s="468" t="s">
        <v>1806</v>
      </c>
      <c r="B1378" s="67">
        <v>32</v>
      </c>
      <c r="C1378" s="69" t="s">
        <v>40</v>
      </c>
      <c r="D1378" s="71" t="s">
        <v>40</v>
      </c>
      <c r="E1378" s="70">
        <v>4.0423799999999996</v>
      </c>
      <c r="F1378" s="74">
        <v>0.13289999999999999</v>
      </c>
      <c r="G1378" s="70">
        <v>3.261E-2</v>
      </c>
      <c r="H1378" s="74">
        <v>1.1000000000000001E-3</v>
      </c>
    </row>
    <row r="1379" spans="1:8" ht="15.6">
      <c r="A1379" s="468" t="s">
        <v>1807</v>
      </c>
      <c r="B1379" s="67">
        <v>33</v>
      </c>
      <c r="C1379" s="69" t="s">
        <v>40</v>
      </c>
      <c r="D1379" s="71" t="s">
        <v>34</v>
      </c>
      <c r="E1379" s="70">
        <v>51.866500000000002</v>
      </c>
      <c r="F1379" s="74">
        <v>1.7052</v>
      </c>
      <c r="G1379" s="70">
        <v>4.0587099999999996</v>
      </c>
      <c r="H1379" s="74">
        <v>0.13339999999999999</v>
      </c>
    </row>
    <row r="1380" spans="1:8" ht="15.6">
      <c r="A1380" s="468" t="s">
        <v>1808</v>
      </c>
      <c r="B1380" s="67">
        <v>34</v>
      </c>
      <c r="C1380" s="69" t="s">
        <v>40</v>
      </c>
      <c r="D1380" s="71" t="s">
        <v>54</v>
      </c>
      <c r="E1380" s="70">
        <v>4.6181599999999996</v>
      </c>
      <c r="F1380" s="74">
        <v>0.15179999999999999</v>
      </c>
      <c r="G1380" s="70">
        <v>8.1119999999999998E-2</v>
      </c>
      <c r="H1380" s="74">
        <v>2.7000000000000001E-3</v>
      </c>
    </row>
    <row r="1381" spans="1:8" ht="15.6">
      <c r="A1381" s="468" t="s">
        <v>1809</v>
      </c>
      <c r="B1381" s="67">
        <v>35</v>
      </c>
      <c r="C1381" s="69" t="s">
        <v>62</v>
      </c>
      <c r="D1381" s="71" t="s">
        <v>12</v>
      </c>
      <c r="E1381" s="70">
        <v>9.2986799999999992</v>
      </c>
      <c r="F1381" s="74">
        <v>0.30570000000000003</v>
      </c>
      <c r="G1381" s="70">
        <v>0.81410000000000005</v>
      </c>
      <c r="H1381" s="74">
        <v>2.6800000000000001E-2</v>
      </c>
    </row>
    <row r="1382" spans="1:8" ht="15.6">
      <c r="A1382" s="468" t="s">
        <v>1810</v>
      </c>
      <c r="B1382" s="67">
        <v>36</v>
      </c>
      <c r="C1382" s="69" t="s">
        <v>62</v>
      </c>
      <c r="D1382" s="71" t="s">
        <v>51</v>
      </c>
      <c r="E1382" s="70">
        <v>3.8516599999999999</v>
      </c>
      <c r="F1382" s="74">
        <v>0.12659999999999999</v>
      </c>
      <c r="G1382" s="70">
        <v>0.15695999999999999</v>
      </c>
      <c r="H1382" s="74">
        <v>5.1999999999999998E-3</v>
      </c>
    </row>
    <row r="1383" spans="1:8" ht="15.6">
      <c r="A1383" s="468" t="s">
        <v>1811</v>
      </c>
      <c r="B1383" s="67">
        <v>37</v>
      </c>
      <c r="C1383" s="69" t="s">
        <v>62</v>
      </c>
      <c r="D1383" s="71" t="s">
        <v>13</v>
      </c>
      <c r="E1383" s="70">
        <v>6.6615500000000001</v>
      </c>
      <c r="F1383" s="74">
        <v>0.219</v>
      </c>
      <c r="G1383" s="70">
        <v>0.49597000000000002</v>
      </c>
      <c r="H1383" s="74">
        <v>1.6299999999999999E-2</v>
      </c>
    </row>
    <row r="1384" spans="1:8" ht="15.6">
      <c r="A1384" s="468" t="s">
        <v>1812</v>
      </c>
      <c r="B1384" s="67">
        <v>38</v>
      </c>
      <c r="C1384" s="69" t="s">
        <v>62</v>
      </c>
      <c r="D1384" s="71" t="s">
        <v>9</v>
      </c>
      <c r="E1384" s="70">
        <v>11.214930000000001</v>
      </c>
      <c r="F1384" s="74">
        <v>0.36870000000000003</v>
      </c>
      <c r="G1384" s="70">
        <v>1.0452900000000001</v>
      </c>
      <c r="H1384" s="74">
        <v>3.44E-2</v>
      </c>
    </row>
    <row r="1385" spans="1:8" ht="15.6">
      <c r="A1385" s="468" t="s">
        <v>1813</v>
      </c>
      <c r="B1385" s="67">
        <v>39</v>
      </c>
      <c r="C1385" s="69" t="s">
        <v>62</v>
      </c>
      <c r="D1385" s="71" t="s">
        <v>14</v>
      </c>
      <c r="E1385" s="70">
        <v>13.25315</v>
      </c>
      <c r="F1385" s="74">
        <v>0.43569999999999998</v>
      </c>
      <c r="G1385" s="70">
        <v>1.2911300000000001</v>
      </c>
      <c r="H1385" s="74">
        <v>4.2500000000000003E-2</v>
      </c>
    </row>
    <row r="1386" spans="1:8" ht="15.6">
      <c r="A1386" s="468" t="s">
        <v>1814</v>
      </c>
      <c r="B1386" s="67">
        <v>40</v>
      </c>
      <c r="C1386" s="69" t="s">
        <v>62</v>
      </c>
      <c r="D1386" s="71" t="s">
        <v>33</v>
      </c>
      <c r="E1386" s="70">
        <v>21.77225</v>
      </c>
      <c r="F1386" s="74">
        <v>0.71579999999999999</v>
      </c>
      <c r="G1386" s="70">
        <v>2.3188900000000001</v>
      </c>
      <c r="H1386" s="74">
        <v>7.6200000000000004E-2</v>
      </c>
    </row>
    <row r="1387" spans="1:8" ht="15.6">
      <c r="A1387" s="468" t="s">
        <v>1815</v>
      </c>
      <c r="B1387" s="67">
        <v>41</v>
      </c>
      <c r="C1387" s="69" t="s">
        <v>62</v>
      </c>
      <c r="D1387" s="71" t="s">
        <v>25</v>
      </c>
      <c r="E1387" s="70">
        <v>24.281020000000002</v>
      </c>
      <c r="F1387" s="74">
        <v>0.79830000000000001</v>
      </c>
      <c r="G1387" s="70">
        <v>2.6215299999999999</v>
      </c>
      <c r="H1387" s="74">
        <v>8.6199999999999999E-2</v>
      </c>
    </row>
    <row r="1388" spans="1:8" ht="15.6">
      <c r="A1388" s="468" t="s">
        <v>1816</v>
      </c>
      <c r="B1388" s="67">
        <v>42</v>
      </c>
      <c r="C1388" s="69" t="s">
        <v>62</v>
      </c>
      <c r="D1388" s="71" t="s">
        <v>31</v>
      </c>
      <c r="E1388" s="70">
        <v>36.976019999999998</v>
      </c>
      <c r="F1388" s="74">
        <v>1.2157</v>
      </c>
      <c r="G1388" s="70">
        <v>4.1530100000000001</v>
      </c>
      <c r="H1388" s="74">
        <v>0.13650000000000001</v>
      </c>
    </row>
    <row r="1389" spans="1:8" ht="15.6">
      <c r="A1389" s="468" t="s">
        <v>1817</v>
      </c>
      <c r="B1389" s="67">
        <v>43</v>
      </c>
      <c r="C1389" s="69" t="s">
        <v>62</v>
      </c>
      <c r="D1389" s="71" t="s">
        <v>45</v>
      </c>
      <c r="E1389" s="70">
        <v>29.861560000000001</v>
      </c>
      <c r="F1389" s="74">
        <v>0.98180000000000001</v>
      </c>
      <c r="G1389" s="70">
        <v>3.2947700000000002</v>
      </c>
      <c r="H1389" s="74">
        <v>0.10829999999999999</v>
      </c>
    </row>
    <row r="1390" spans="1:8" ht="15.6">
      <c r="A1390" s="468" t="s">
        <v>1818</v>
      </c>
      <c r="B1390" s="67">
        <v>44</v>
      </c>
      <c r="C1390" s="69" t="s">
        <v>62</v>
      </c>
      <c r="D1390" s="71" t="s">
        <v>27</v>
      </c>
      <c r="E1390" s="70">
        <v>34.255549999999999</v>
      </c>
      <c r="F1390" s="74">
        <v>1.1262000000000001</v>
      </c>
      <c r="G1390" s="70">
        <v>3.8248099999999998</v>
      </c>
      <c r="H1390" s="74">
        <v>0.1258</v>
      </c>
    </row>
    <row r="1391" spans="1:8" ht="15.6">
      <c r="A1391" s="468" t="s">
        <v>1819</v>
      </c>
      <c r="B1391" s="67">
        <v>45</v>
      </c>
      <c r="C1391" s="69" t="s">
        <v>62</v>
      </c>
      <c r="D1391" s="71" t="s">
        <v>21</v>
      </c>
      <c r="E1391" s="70">
        <v>37.871490000000001</v>
      </c>
      <c r="F1391" s="74">
        <v>1.2451000000000001</v>
      </c>
      <c r="G1391" s="70">
        <v>4.2610299999999999</v>
      </c>
      <c r="H1391" s="74">
        <v>0.1401</v>
      </c>
    </row>
    <row r="1392" spans="1:8" ht="15.6">
      <c r="A1392" s="468" t="s">
        <v>1820</v>
      </c>
      <c r="B1392" s="67">
        <v>46</v>
      </c>
      <c r="C1392" s="69" t="s">
        <v>62</v>
      </c>
      <c r="D1392" s="71" t="s">
        <v>32</v>
      </c>
      <c r="E1392" s="70">
        <v>32.93486</v>
      </c>
      <c r="F1392" s="74">
        <v>1.0828</v>
      </c>
      <c r="G1392" s="70">
        <v>3.6655099999999998</v>
      </c>
      <c r="H1392" s="74">
        <v>0.1205</v>
      </c>
    </row>
    <row r="1393" spans="1:8" ht="15.6">
      <c r="A1393" s="468" t="s">
        <v>1821</v>
      </c>
      <c r="B1393" s="67">
        <v>47</v>
      </c>
      <c r="C1393" s="69" t="s">
        <v>62</v>
      </c>
      <c r="D1393" s="71" t="s">
        <v>30</v>
      </c>
      <c r="E1393" s="70">
        <v>46.02346</v>
      </c>
      <c r="F1393" s="74">
        <v>1.5130999999999999</v>
      </c>
      <c r="G1393" s="70">
        <v>4.8630699999999996</v>
      </c>
      <c r="H1393" s="74">
        <v>0.15989999999999999</v>
      </c>
    </row>
    <row r="1394" spans="1:8" ht="15.6">
      <c r="A1394" s="468" t="s">
        <v>1822</v>
      </c>
      <c r="B1394" s="67">
        <v>48</v>
      </c>
      <c r="C1394" s="69" t="s">
        <v>62</v>
      </c>
      <c r="D1394" s="71" t="s">
        <v>28</v>
      </c>
      <c r="E1394" s="70">
        <v>47.432659999999998</v>
      </c>
      <c r="F1394" s="74">
        <v>1.5593999999999999</v>
      </c>
      <c r="G1394" s="70">
        <v>5.0213900000000002</v>
      </c>
      <c r="H1394" s="74">
        <v>0.1651</v>
      </c>
    </row>
    <row r="1395" spans="1:8" ht="15.6">
      <c r="A1395" s="468" t="s">
        <v>1823</v>
      </c>
      <c r="B1395" s="67">
        <v>49</v>
      </c>
      <c r="C1395" s="69" t="s">
        <v>62</v>
      </c>
      <c r="D1395" s="71" t="s">
        <v>79</v>
      </c>
      <c r="E1395" s="70">
        <v>47.739570000000001</v>
      </c>
      <c r="F1395" s="74">
        <v>1.5694999999999999</v>
      </c>
      <c r="G1395" s="70">
        <v>5.0558300000000003</v>
      </c>
      <c r="H1395" s="74">
        <v>0.16619999999999999</v>
      </c>
    </row>
    <row r="1396" spans="1:8" ht="15.6">
      <c r="A1396" s="468" t="s">
        <v>1824</v>
      </c>
      <c r="B1396" s="67">
        <v>50</v>
      </c>
      <c r="C1396" s="69" t="s">
        <v>62</v>
      </c>
      <c r="D1396" s="71" t="s">
        <v>29</v>
      </c>
      <c r="E1396" s="70">
        <v>51.519449999999999</v>
      </c>
      <c r="F1396" s="74">
        <v>1.6938</v>
      </c>
      <c r="G1396" s="70">
        <v>5.4805400000000004</v>
      </c>
      <c r="H1396" s="74">
        <v>0.1802</v>
      </c>
    </row>
    <row r="1397" spans="1:8" ht="15.6">
      <c r="A1397" s="468" t="s">
        <v>1825</v>
      </c>
      <c r="B1397" s="67">
        <v>51</v>
      </c>
      <c r="C1397" s="69" t="s">
        <v>62</v>
      </c>
      <c r="D1397" s="71" t="s">
        <v>43</v>
      </c>
      <c r="E1397" s="70">
        <v>47.5306</v>
      </c>
      <c r="F1397" s="74">
        <v>1.5627</v>
      </c>
      <c r="G1397" s="70">
        <v>5.0323799999999999</v>
      </c>
      <c r="H1397" s="74">
        <v>0.16550000000000001</v>
      </c>
    </row>
    <row r="1398" spans="1:8" ht="15.6">
      <c r="A1398" s="468" t="s">
        <v>1826</v>
      </c>
      <c r="B1398" s="67">
        <v>52</v>
      </c>
      <c r="C1398" s="69" t="s">
        <v>62</v>
      </c>
      <c r="D1398" s="71" t="s">
        <v>18</v>
      </c>
      <c r="E1398" s="70">
        <v>48.615259999999999</v>
      </c>
      <c r="F1398" s="74">
        <v>1.5983000000000001</v>
      </c>
      <c r="G1398" s="70">
        <v>5.1542300000000001</v>
      </c>
      <c r="H1398" s="74">
        <v>0.16950000000000001</v>
      </c>
    </row>
    <row r="1399" spans="1:8" ht="15.6">
      <c r="A1399" s="468" t="s">
        <v>1827</v>
      </c>
      <c r="B1399" s="67">
        <v>53</v>
      </c>
      <c r="C1399" s="69" t="s">
        <v>62</v>
      </c>
      <c r="D1399" s="71" t="s">
        <v>76</v>
      </c>
      <c r="E1399" s="70">
        <v>47.5306</v>
      </c>
      <c r="F1399" s="74">
        <v>1.5627</v>
      </c>
      <c r="G1399" s="70">
        <v>5.0323799999999999</v>
      </c>
      <c r="H1399" s="74">
        <v>0.16550000000000001</v>
      </c>
    </row>
    <row r="1400" spans="1:8" ht="15.6">
      <c r="A1400" s="468" t="s">
        <v>1828</v>
      </c>
      <c r="B1400" s="67">
        <v>54</v>
      </c>
      <c r="C1400" s="69" t="s">
        <v>62</v>
      </c>
      <c r="D1400" s="71" t="s">
        <v>19</v>
      </c>
      <c r="E1400" s="70">
        <v>50.278449999999999</v>
      </c>
      <c r="F1400" s="74">
        <v>1.653</v>
      </c>
      <c r="G1400" s="70">
        <v>5.3411099999999996</v>
      </c>
      <c r="H1400" s="74">
        <v>0.17560000000000001</v>
      </c>
    </row>
    <row r="1401" spans="1:8" ht="15.6">
      <c r="A1401" s="468" t="s">
        <v>1829</v>
      </c>
      <c r="B1401" s="67">
        <v>55</v>
      </c>
      <c r="C1401" s="69" t="s">
        <v>62</v>
      </c>
      <c r="D1401" s="71" t="s">
        <v>23</v>
      </c>
      <c r="E1401" s="70">
        <v>52.71208</v>
      </c>
      <c r="F1401" s="74">
        <v>1.7330000000000001</v>
      </c>
      <c r="G1401" s="70">
        <v>5.6145300000000002</v>
      </c>
      <c r="H1401" s="74">
        <v>0.18459999999999999</v>
      </c>
    </row>
    <row r="1402" spans="1:8" ht="15.6">
      <c r="A1402" s="468" t="s">
        <v>1830</v>
      </c>
      <c r="B1402" s="67">
        <v>56</v>
      </c>
      <c r="C1402" s="69" t="s">
        <v>62</v>
      </c>
      <c r="D1402" s="71" t="s">
        <v>20</v>
      </c>
      <c r="E1402" s="70">
        <v>54.315649999999998</v>
      </c>
      <c r="F1402" s="74">
        <v>1.7857000000000001</v>
      </c>
      <c r="G1402" s="70">
        <v>5.7946900000000001</v>
      </c>
      <c r="H1402" s="74">
        <v>0.1905</v>
      </c>
    </row>
    <row r="1403" spans="1:8" ht="15.6">
      <c r="A1403" s="468" t="s">
        <v>1831</v>
      </c>
      <c r="B1403" s="67">
        <v>57</v>
      </c>
      <c r="C1403" s="69" t="s">
        <v>62</v>
      </c>
      <c r="D1403" s="71" t="s">
        <v>53</v>
      </c>
      <c r="E1403" s="70">
        <v>43.420099999999998</v>
      </c>
      <c r="F1403" s="74">
        <v>1.4275</v>
      </c>
      <c r="G1403" s="70">
        <v>4.57057</v>
      </c>
      <c r="H1403" s="74">
        <v>0.15029999999999999</v>
      </c>
    </row>
    <row r="1404" spans="1:8" ht="15.6">
      <c r="A1404" s="468" t="s">
        <v>1832</v>
      </c>
      <c r="B1404" s="67">
        <v>58</v>
      </c>
      <c r="C1404" s="69" t="s">
        <v>62</v>
      </c>
      <c r="D1404" s="71" t="s">
        <v>41</v>
      </c>
      <c r="E1404" s="70">
        <v>43.354999999999997</v>
      </c>
      <c r="F1404" s="74">
        <v>1.4254</v>
      </c>
      <c r="G1404" s="70">
        <v>4.5632599999999996</v>
      </c>
      <c r="H1404" s="74">
        <v>0.15</v>
      </c>
    </row>
    <row r="1405" spans="1:8" ht="15.6">
      <c r="A1405" s="468" t="s">
        <v>1833</v>
      </c>
      <c r="B1405" s="67">
        <v>59</v>
      </c>
      <c r="C1405" s="69" t="s">
        <v>62</v>
      </c>
      <c r="D1405" s="71" t="s">
        <v>36</v>
      </c>
      <c r="E1405" s="70">
        <v>48.899349999999998</v>
      </c>
      <c r="F1405" s="74">
        <v>1.6076999999999999</v>
      </c>
      <c r="G1405" s="70">
        <v>5.1861800000000002</v>
      </c>
      <c r="H1405" s="74">
        <v>0.17050000000000001</v>
      </c>
    </row>
    <row r="1406" spans="1:8" ht="15.6">
      <c r="A1406" s="468" t="s">
        <v>1834</v>
      </c>
      <c r="B1406" s="67">
        <v>60</v>
      </c>
      <c r="C1406" s="69" t="s">
        <v>62</v>
      </c>
      <c r="D1406" s="71" t="s">
        <v>15</v>
      </c>
      <c r="E1406" s="70">
        <v>51.253300000000003</v>
      </c>
      <c r="F1406" s="74">
        <v>1.6850000000000001</v>
      </c>
      <c r="G1406" s="70">
        <v>5.4506600000000001</v>
      </c>
      <c r="H1406" s="74">
        <v>0.1792</v>
      </c>
    </row>
    <row r="1407" spans="1:8" ht="15.6">
      <c r="A1407" s="468" t="s">
        <v>1835</v>
      </c>
      <c r="B1407" s="67">
        <v>61</v>
      </c>
      <c r="C1407" s="69" t="s">
        <v>62</v>
      </c>
      <c r="D1407" s="71" t="s">
        <v>16</v>
      </c>
      <c r="E1407" s="70">
        <v>57.707410000000003</v>
      </c>
      <c r="F1407" s="74">
        <v>1.8972</v>
      </c>
      <c r="G1407" s="70">
        <v>6.1757400000000002</v>
      </c>
      <c r="H1407" s="74">
        <v>0.20300000000000001</v>
      </c>
    </row>
    <row r="1408" spans="1:8" ht="15.6">
      <c r="A1408" s="468" t="s">
        <v>1836</v>
      </c>
      <c r="B1408" s="67">
        <v>62</v>
      </c>
      <c r="C1408" s="69" t="s">
        <v>62</v>
      </c>
      <c r="D1408" s="71" t="s">
        <v>17</v>
      </c>
      <c r="E1408" s="70">
        <v>13.60933</v>
      </c>
      <c r="F1408" s="74">
        <v>0.44740000000000002</v>
      </c>
      <c r="G1408" s="70">
        <v>1.3340799999999999</v>
      </c>
      <c r="H1408" s="74">
        <v>4.3900000000000002E-2</v>
      </c>
    </row>
    <row r="1409" spans="1:8" ht="15.6">
      <c r="A1409" s="468" t="s">
        <v>1837</v>
      </c>
      <c r="B1409" s="67">
        <v>63</v>
      </c>
      <c r="C1409" s="69" t="s">
        <v>62</v>
      </c>
      <c r="D1409" s="71" t="s">
        <v>10</v>
      </c>
      <c r="E1409" s="70">
        <v>13.60933</v>
      </c>
      <c r="F1409" s="74">
        <v>0.44740000000000002</v>
      </c>
      <c r="G1409" s="70">
        <v>1.3340799999999999</v>
      </c>
      <c r="H1409" s="74">
        <v>4.3900000000000002E-2</v>
      </c>
    </row>
    <row r="1410" spans="1:8" ht="15.6">
      <c r="A1410" s="468" t="s">
        <v>1838</v>
      </c>
      <c r="B1410" s="67">
        <v>64</v>
      </c>
      <c r="C1410" s="69" t="s">
        <v>62</v>
      </c>
      <c r="D1410" s="71" t="s">
        <v>22</v>
      </c>
      <c r="E1410" s="70">
        <v>50.651350000000001</v>
      </c>
      <c r="F1410" s="74">
        <v>1.6653</v>
      </c>
      <c r="G1410" s="70">
        <v>5.383</v>
      </c>
      <c r="H1410" s="74">
        <v>0.17699999999999999</v>
      </c>
    </row>
    <row r="1411" spans="1:8" ht="15.6">
      <c r="A1411" s="468" t="s">
        <v>1839</v>
      </c>
      <c r="B1411" s="67">
        <v>65</v>
      </c>
      <c r="C1411" s="69" t="s">
        <v>62</v>
      </c>
      <c r="D1411" s="71" t="s">
        <v>35</v>
      </c>
      <c r="E1411" s="70">
        <v>46.838320000000003</v>
      </c>
      <c r="F1411" s="74">
        <v>1.5399</v>
      </c>
      <c r="G1411" s="70">
        <v>4.9546099999999997</v>
      </c>
      <c r="H1411" s="74">
        <v>0.16289999999999999</v>
      </c>
    </row>
    <row r="1412" spans="1:8" ht="15.6">
      <c r="A1412" s="468" t="s">
        <v>1840</v>
      </c>
      <c r="B1412" s="67">
        <v>66</v>
      </c>
      <c r="C1412" s="69" t="s">
        <v>62</v>
      </c>
      <c r="D1412" s="71" t="s">
        <v>24</v>
      </c>
      <c r="E1412" s="70">
        <v>54.037030000000001</v>
      </c>
      <c r="F1412" s="74">
        <v>1.7766</v>
      </c>
      <c r="G1412" s="70">
        <v>5.7633900000000002</v>
      </c>
      <c r="H1412" s="74">
        <v>0.1895</v>
      </c>
    </row>
    <row r="1413" spans="1:8" ht="15.6">
      <c r="A1413" s="468" t="s">
        <v>1841</v>
      </c>
      <c r="B1413" s="67">
        <v>67</v>
      </c>
      <c r="C1413" s="69" t="s">
        <v>62</v>
      </c>
      <c r="D1413" s="71" t="s">
        <v>37</v>
      </c>
      <c r="E1413" s="70">
        <v>48.856160000000003</v>
      </c>
      <c r="F1413" s="74">
        <v>1.6062000000000001</v>
      </c>
      <c r="G1413" s="70">
        <v>5.1813200000000004</v>
      </c>
      <c r="H1413" s="74">
        <v>0.17030000000000001</v>
      </c>
    </row>
    <row r="1414" spans="1:8" ht="15.6">
      <c r="A1414" s="468" t="s">
        <v>1842</v>
      </c>
      <c r="B1414" s="67">
        <v>68</v>
      </c>
      <c r="C1414" s="69" t="s">
        <v>62</v>
      </c>
      <c r="D1414" s="71" t="s">
        <v>38</v>
      </c>
      <c r="E1414" s="70">
        <v>39.901800000000001</v>
      </c>
      <c r="F1414" s="74">
        <v>1.3118000000000001</v>
      </c>
      <c r="G1414" s="70">
        <v>4.5059800000000001</v>
      </c>
      <c r="H1414" s="74">
        <v>0.14810000000000001</v>
      </c>
    </row>
    <row r="1415" spans="1:8" ht="15.6">
      <c r="A1415" s="468" t="s">
        <v>1843</v>
      </c>
      <c r="B1415" s="67">
        <v>69</v>
      </c>
      <c r="C1415" s="69" t="s">
        <v>62</v>
      </c>
      <c r="D1415" s="71" t="s">
        <v>26</v>
      </c>
      <c r="E1415" s="70">
        <v>54.353369999999998</v>
      </c>
      <c r="F1415" s="74">
        <v>1.7869999999999999</v>
      </c>
      <c r="G1415" s="70">
        <v>5.7989300000000004</v>
      </c>
      <c r="H1415" s="74">
        <v>0.19070000000000001</v>
      </c>
    </row>
    <row r="1416" spans="1:8" ht="15.6">
      <c r="A1416" s="468" t="s">
        <v>1844</v>
      </c>
      <c r="B1416" s="67">
        <v>70</v>
      </c>
      <c r="C1416" s="69" t="s">
        <v>62</v>
      </c>
      <c r="D1416" s="71" t="s">
        <v>52</v>
      </c>
      <c r="E1416" s="70">
        <v>13.25315</v>
      </c>
      <c r="F1416" s="74">
        <v>0.43569999999999998</v>
      </c>
      <c r="G1416" s="70">
        <v>1.2911300000000001</v>
      </c>
      <c r="H1416" s="74">
        <v>4.2500000000000003E-2</v>
      </c>
    </row>
    <row r="1417" spans="1:8" ht="15.6">
      <c r="A1417" s="468" t="s">
        <v>1845</v>
      </c>
      <c r="B1417" s="67">
        <v>71</v>
      </c>
      <c r="C1417" s="69" t="s">
        <v>62</v>
      </c>
      <c r="D1417" s="71" t="s">
        <v>40</v>
      </c>
      <c r="E1417" s="70">
        <v>40.035029999999999</v>
      </c>
      <c r="F1417" s="74">
        <v>1.3162</v>
      </c>
      <c r="G1417" s="70">
        <v>4.5220700000000003</v>
      </c>
      <c r="H1417" s="74">
        <v>0.1487</v>
      </c>
    </row>
    <row r="1418" spans="1:8" ht="15.6">
      <c r="A1418" s="468" t="s">
        <v>1846</v>
      </c>
      <c r="B1418" s="67">
        <v>72</v>
      </c>
      <c r="C1418" s="69" t="s">
        <v>62</v>
      </c>
      <c r="D1418" s="71" t="s">
        <v>34</v>
      </c>
      <c r="E1418" s="70">
        <v>6.6615500000000001</v>
      </c>
      <c r="F1418" s="74">
        <v>0.219</v>
      </c>
      <c r="G1418" s="70">
        <v>0.49597000000000002</v>
      </c>
      <c r="H1418" s="74">
        <v>1.6299999999999999E-2</v>
      </c>
    </row>
    <row r="1419" spans="1:8" ht="15.6">
      <c r="A1419" s="468" t="s">
        <v>1847</v>
      </c>
      <c r="B1419" s="67">
        <v>73</v>
      </c>
      <c r="C1419" s="69" t="s">
        <v>62</v>
      </c>
      <c r="D1419" s="71" t="s">
        <v>54</v>
      </c>
      <c r="E1419" s="70">
        <v>43.420099999999998</v>
      </c>
      <c r="F1419" s="74">
        <v>1.4275</v>
      </c>
      <c r="G1419" s="70">
        <v>4.57057</v>
      </c>
      <c r="H1419" s="74">
        <v>0.15029999999999999</v>
      </c>
    </row>
    <row r="1420" spans="1:8" ht="15.6">
      <c r="A1420" s="468" t="s">
        <v>1848</v>
      </c>
      <c r="B1420" s="67">
        <v>74</v>
      </c>
      <c r="C1420" s="69" t="s">
        <v>63</v>
      </c>
      <c r="D1420" s="71" t="s">
        <v>12</v>
      </c>
      <c r="E1420" s="70">
        <v>5.1072600000000001</v>
      </c>
      <c r="F1420" s="74">
        <v>0.16789999999999999</v>
      </c>
      <c r="G1420" s="70">
        <v>0.30842000000000003</v>
      </c>
      <c r="H1420" s="74">
        <v>1.01E-2</v>
      </c>
    </row>
    <row r="1421" spans="1:8" ht="15.6">
      <c r="A1421" s="468" t="s">
        <v>1849</v>
      </c>
      <c r="B1421" s="67">
        <v>75</v>
      </c>
      <c r="C1421" s="69" t="s">
        <v>63</v>
      </c>
      <c r="D1421" s="71" t="s">
        <v>51</v>
      </c>
      <c r="E1421" s="70">
        <v>7.8986000000000001</v>
      </c>
      <c r="F1421" s="74">
        <v>0.25969999999999999</v>
      </c>
      <c r="G1421" s="70">
        <v>0.64519000000000004</v>
      </c>
      <c r="H1421" s="74">
        <v>2.12E-2</v>
      </c>
    </row>
    <row r="1422" spans="1:8" ht="15.6">
      <c r="A1422" s="468" t="s">
        <v>1850</v>
      </c>
      <c r="B1422" s="67">
        <v>76</v>
      </c>
      <c r="C1422" s="69" t="s">
        <v>63</v>
      </c>
      <c r="D1422" s="71" t="s">
        <v>13</v>
      </c>
      <c r="E1422" s="70">
        <v>10.85328</v>
      </c>
      <c r="F1422" s="74">
        <v>0.35680000000000001</v>
      </c>
      <c r="G1422" s="70">
        <v>1.0016499999999999</v>
      </c>
      <c r="H1422" s="74">
        <v>3.2899999999999999E-2</v>
      </c>
    </row>
    <row r="1423" spans="1:8" ht="15.6">
      <c r="A1423" s="468" t="s">
        <v>1851</v>
      </c>
      <c r="B1423" s="67">
        <v>77</v>
      </c>
      <c r="C1423" s="69" t="s">
        <v>63</v>
      </c>
      <c r="D1423" s="71" t="s">
        <v>9</v>
      </c>
      <c r="E1423" s="70">
        <v>15.406040000000001</v>
      </c>
      <c r="F1423" s="74">
        <v>0.50649999999999995</v>
      </c>
      <c r="G1423" s="70">
        <v>1.55088</v>
      </c>
      <c r="H1423" s="74">
        <v>5.0999999999999997E-2</v>
      </c>
    </row>
    <row r="1424" spans="1:8" ht="15.6">
      <c r="A1424" s="468" t="s">
        <v>1852</v>
      </c>
      <c r="B1424" s="67">
        <v>1</v>
      </c>
      <c r="C1424" s="69" t="s">
        <v>63</v>
      </c>
      <c r="D1424" s="71" t="s">
        <v>14</v>
      </c>
      <c r="E1424" s="70">
        <v>17.444569999999999</v>
      </c>
      <c r="F1424" s="74">
        <v>0.57350000000000001</v>
      </c>
      <c r="G1424" s="70">
        <v>1.7967900000000001</v>
      </c>
      <c r="H1424" s="74">
        <v>5.91E-2</v>
      </c>
    </row>
    <row r="1425" spans="1:8" ht="15.6">
      <c r="A1425" s="468" t="s">
        <v>1853</v>
      </c>
      <c r="B1425" s="67">
        <v>2</v>
      </c>
      <c r="C1425" s="69" t="s">
        <v>63</v>
      </c>
      <c r="D1425" s="71" t="s">
        <v>33</v>
      </c>
      <c r="E1425" s="70">
        <v>25.964279999999999</v>
      </c>
      <c r="F1425" s="74">
        <v>0.85360000000000003</v>
      </c>
      <c r="G1425" s="70">
        <v>2.8245900000000002</v>
      </c>
      <c r="H1425" s="74">
        <v>9.2899999999999996E-2</v>
      </c>
    </row>
    <row r="1426" spans="1:8" ht="15.6">
      <c r="A1426" s="468" t="s">
        <v>1854</v>
      </c>
      <c r="B1426" s="67">
        <v>3</v>
      </c>
      <c r="C1426" s="69" t="s">
        <v>63</v>
      </c>
      <c r="D1426" s="71" t="s">
        <v>25</v>
      </c>
      <c r="E1426" s="70">
        <v>28.472740000000002</v>
      </c>
      <c r="F1426" s="74">
        <v>0.93610000000000004</v>
      </c>
      <c r="G1426" s="70">
        <v>3.1272099999999998</v>
      </c>
      <c r="H1426" s="74">
        <v>0.1028</v>
      </c>
    </row>
    <row r="1427" spans="1:8" ht="15.6">
      <c r="A1427" s="468" t="s">
        <v>1855</v>
      </c>
      <c r="B1427" s="67">
        <v>4</v>
      </c>
      <c r="C1427" s="69" t="s">
        <v>63</v>
      </c>
      <c r="D1427" s="71" t="s">
        <v>31</v>
      </c>
      <c r="E1427" s="70">
        <v>41.167439999999999</v>
      </c>
      <c r="F1427" s="74">
        <v>1.3534999999999999</v>
      </c>
      <c r="G1427" s="70">
        <v>4.6586499999999997</v>
      </c>
      <c r="H1427" s="74">
        <v>0.1532</v>
      </c>
    </row>
    <row r="1428" spans="1:8" ht="15.6">
      <c r="A1428" s="468" t="s">
        <v>1856</v>
      </c>
      <c r="B1428" s="67">
        <v>5</v>
      </c>
      <c r="C1428" s="69" t="s">
        <v>63</v>
      </c>
      <c r="D1428" s="71" t="s">
        <v>45</v>
      </c>
      <c r="E1428" s="70">
        <v>34.053280000000001</v>
      </c>
      <c r="F1428" s="74">
        <v>1.1195999999999999</v>
      </c>
      <c r="G1428" s="70">
        <v>3.8004199999999999</v>
      </c>
      <c r="H1428" s="74">
        <v>0.125</v>
      </c>
    </row>
    <row r="1429" spans="1:8" ht="15.6">
      <c r="A1429" s="468" t="s">
        <v>1857</v>
      </c>
      <c r="B1429" s="67">
        <v>6</v>
      </c>
      <c r="C1429" s="69" t="s">
        <v>63</v>
      </c>
      <c r="D1429" s="71" t="s">
        <v>27</v>
      </c>
      <c r="E1429" s="70">
        <v>38.44697</v>
      </c>
      <c r="F1429" s="74">
        <v>1.264</v>
      </c>
      <c r="G1429" s="70">
        <v>4.3304600000000004</v>
      </c>
      <c r="H1429" s="74">
        <v>0.1424</v>
      </c>
    </row>
    <row r="1430" spans="1:8" ht="15.6">
      <c r="A1430" s="468" t="s">
        <v>1858</v>
      </c>
      <c r="B1430" s="67">
        <v>7</v>
      </c>
      <c r="C1430" s="69" t="s">
        <v>63</v>
      </c>
      <c r="D1430" s="71" t="s">
        <v>21</v>
      </c>
      <c r="E1430" s="70">
        <v>42.062899999999999</v>
      </c>
      <c r="F1430" s="74">
        <v>1.3829</v>
      </c>
      <c r="G1430" s="70">
        <v>4.7666899999999996</v>
      </c>
      <c r="H1430" s="74">
        <v>0.15670000000000001</v>
      </c>
    </row>
    <row r="1431" spans="1:8" ht="15.6">
      <c r="A1431" s="468" t="s">
        <v>1859</v>
      </c>
      <c r="B1431" s="67">
        <v>8</v>
      </c>
      <c r="C1431" s="69" t="s">
        <v>63</v>
      </c>
      <c r="D1431" s="71" t="s">
        <v>32</v>
      </c>
      <c r="E1431" s="70">
        <v>37.126280000000001</v>
      </c>
      <c r="F1431" s="74">
        <v>1.2205999999999999</v>
      </c>
      <c r="G1431" s="70">
        <v>4.17117</v>
      </c>
      <c r="H1431" s="74">
        <v>0.1371</v>
      </c>
    </row>
    <row r="1432" spans="1:8" ht="15.6">
      <c r="A1432" s="468" t="s">
        <v>1860</v>
      </c>
      <c r="B1432" s="67">
        <v>9</v>
      </c>
      <c r="C1432" s="69" t="s">
        <v>63</v>
      </c>
      <c r="D1432" s="71" t="s">
        <v>30</v>
      </c>
      <c r="E1432" s="70">
        <v>50.524209999999997</v>
      </c>
      <c r="F1432" s="74">
        <v>1.6611</v>
      </c>
      <c r="G1432" s="70">
        <v>5.3687300000000002</v>
      </c>
      <c r="H1432" s="74">
        <v>0.17649999999999999</v>
      </c>
    </row>
    <row r="1433" spans="1:8" ht="15.6">
      <c r="A1433" s="468" t="s">
        <v>1861</v>
      </c>
      <c r="B1433" s="67">
        <v>10</v>
      </c>
      <c r="C1433" s="69" t="s">
        <v>63</v>
      </c>
      <c r="D1433" s="71" t="s">
        <v>28</v>
      </c>
      <c r="E1433" s="70">
        <v>51.933720000000001</v>
      </c>
      <c r="F1433" s="74">
        <v>1.7074</v>
      </c>
      <c r="G1433" s="70">
        <v>5.5270700000000001</v>
      </c>
      <c r="H1433" s="74">
        <v>0.1817</v>
      </c>
    </row>
    <row r="1434" spans="1:8" ht="15.6">
      <c r="A1434" s="468" t="s">
        <v>1862</v>
      </c>
      <c r="B1434" s="67">
        <v>11</v>
      </c>
      <c r="C1434" s="69" t="s">
        <v>63</v>
      </c>
      <c r="D1434" s="71" t="s">
        <v>79</v>
      </c>
      <c r="E1434" s="70">
        <v>52.239710000000002</v>
      </c>
      <c r="F1434" s="74">
        <v>1.7175</v>
      </c>
      <c r="G1434" s="70">
        <v>5.5614699999999999</v>
      </c>
      <c r="H1434" s="74">
        <v>0.18279999999999999</v>
      </c>
    </row>
    <row r="1435" spans="1:8" ht="15.6">
      <c r="A1435" s="468" t="s">
        <v>1863</v>
      </c>
      <c r="B1435" s="67">
        <v>12</v>
      </c>
      <c r="C1435" s="69" t="s">
        <v>63</v>
      </c>
      <c r="D1435" s="71" t="s">
        <v>29</v>
      </c>
      <c r="E1435" s="70">
        <v>56.019289999999998</v>
      </c>
      <c r="F1435" s="74">
        <v>1.8416999999999999</v>
      </c>
      <c r="G1435" s="70">
        <v>5.9860899999999999</v>
      </c>
      <c r="H1435" s="74">
        <v>0.1968</v>
      </c>
    </row>
    <row r="1436" spans="1:8" ht="15.6">
      <c r="A1436" s="468" t="s">
        <v>1864</v>
      </c>
      <c r="B1436" s="67">
        <v>13</v>
      </c>
      <c r="C1436" s="69" t="s">
        <v>63</v>
      </c>
      <c r="D1436" s="71" t="s">
        <v>43</v>
      </c>
      <c r="E1436" s="70">
        <v>52.031359999999999</v>
      </c>
      <c r="F1436" s="74">
        <v>1.7105999999999999</v>
      </c>
      <c r="G1436" s="70">
        <v>5.5380399999999996</v>
      </c>
      <c r="H1436" s="74">
        <v>0.18210000000000001</v>
      </c>
    </row>
    <row r="1437" spans="1:8" ht="15.6">
      <c r="A1437" s="468" t="s">
        <v>1865</v>
      </c>
      <c r="B1437" s="67">
        <v>14</v>
      </c>
      <c r="C1437" s="69" t="s">
        <v>63</v>
      </c>
      <c r="D1437" s="71" t="s">
        <v>18</v>
      </c>
      <c r="E1437" s="70">
        <v>53.116019999999999</v>
      </c>
      <c r="F1437" s="74">
        <v>1.7463</v>
      </c>
      <c r="G1437" s="70">
        <v>5.6598800000000002</v>
      </c>
      <c r="H1437" s="74">
        <v>0.18609999999999999</v>
      </c>
    </row>
    <row r="1438" spans="1:8" ht="15.6">
      <c r="A1438" s="468" t="s">
        <v>1866</v>
      </c>
      <c r="B1438" s="67">
        <v>15</v>
      </c>
      <c r="C1438" s="69" t="s">
        <v>63</v>
      </c>
      <c r="D1438" s="71" t="s">
        <v>76</v>
      </c>
      <c r="E1438" s="70">
        <v>52.031359999999999</v>
      </c>
      <c r="F1438" s="74">
        <v>1.7105999999999999</v>
      </c>
      <c r="G1438" s="70">
        <v>5.5380399999999996</v>
      </c>
      <c r="H1438" s="74">
        <v>0.18210000000000001</v>
      </c>
    </row>
    <row r="1439" spans="1:8" ht="15.6">
      <c r="A1439" s="468" t="s">
        <v>1867</v>
      </c>
      <c r="B1439" s="67">
        <v>16</v>
      </c>
      <c r="C1439" s="69" t="s">
        <v>63</v>
      </c>
      <c r="D1439" s="71" t="s">
        <v>19</v>
      </c>
      <c r="E1439" s="70">
        <v>54.779499999999999</v>
      </c>
      <c r="F1439" s="74">
        <v>1.8009999999999999</v>
      </c>
      <c r="G1439" s="70">
        <v>5.8467799999999999</v>
      </c>
      <c r="H1439" s="74">
        <v>0.19220000000000001</v>
      </c>
    </row>
    <row r="1440" spans="1:8" ht="15.6">
      <c r="A1440" s="468" t="s">
        <v>1868</v>
      </c>
      <c r="B1440" s="67">
        <v>17</v>
      </c>
      <c r="C1440" s="69" t="s">
        <v>63</v>
      </c>
      <c r="D1440" s="71" t="s">
        <v>23</v>
      </c>
      <c r="E1440" s="70">
        <v>57.213140000000003</v>
      </c>
      <c r="F1440" s="74">
        <v>1.881</v>
      </c>
      <c r="G1440" s="70">
        <v>6.1202100000000002</v>
      </c>
      <c r="H1440" s="74">
        <v>0.20119999999999999</v>
      </c>
    </row>
    <row r="1441" spans="1:8" ht="15.6">
      <c r="A1441" s="468" t="s">
        <v>1869</v>
      </c>
      <c r="B1441" s="67">
        <v>18</v>
      </c>
      <c r="C1441" s="69" t="s">
        <v>63</v>
      </c>
      <c r="D1441" s="71" t="s">
        <v>20</v>
      </c>
      <c r="E1441" s="70">
        <v>58.815800000000003</v>
      </c>
      <c r="F1441" s="74">
        <v>1.9337</v>
      </c>
      <c r="G1441" s="70">
        <v>6.3002900000000004</v>
      </c>
      <c r="H1441" s="74">
        <v>0.20710000000000001</v>
      </c>
    </row>
    <row r="1442" spans="1:8" ht="15.6">
      <c r="A1442" s="468" t="s">
        <v>1870</v>
      </c>
      <c r="B1442" s="67">
        <v>19</v>
      </c>
      <c r="C1442" s="69" t="s">
        <v>63</v>
      </c>
      <c r="D1442" s="71" t="s">
        <v>53</v>
      </c>
      <c r="E1442" s="70">
        <v>47.920850000000002</v>
      </c>
      <c r="F1442" s="74">
        <v>1.5754999999999999</v>
      </c>
      <c r="G1442" s="70">
        <v>5.0762299999999998</v>
      </c>
      <c r="H1442" s="74">
        <v>0.16689999999999999</v>
      </c>
    </row>
    <row r="1443" spans="1:8" ht="15.6">
      <c r="A1443" s="468" t="s">
        <v>1871</v>
      </c>
      <c r="B1443" s="67">
        <v>20</v>
      </c>
      <c r="C1443" s="69" t="s">
        <v>63</v>
      </c>
      <c r="D1443" s="71" t="s">
        <v>41</v>
      </c>
      <c r="E1443" s="70">
        <v>47.855759999999997</v>
      </c>
      <c r="F1443" s="74">
        <v>1.5732999999999999</v>
      </c>
      <c r="G1443" s="70">
        <v>5.0689000000000002</v>
      </c>
      <c r="H1443" s="74">
        <v>0.16669999999999999</v>
      </c>
    </row>
    <row r="1444" spans="1:8" ht="15.6">
      <c r="A1444" s="468" t="s">
        <v>1872</v>
      </c>
      <c r="B1444" s="67">
        <v>21</v>
      </c>
      <c r="C1444" s="69" t="s">
        <v>63</v>
      </c>
      <c r="D1444" s="71" t="s">
        <v>36</v>
      </c>
      <c r="E1444" s="70">
        <v>53.400410000000001</v>
      </c>
      <c r="F1444" s="74">
        <v>1.7556</v>
      </c>
      <c r="G1444" s="70">
        <v>5.6918600000000001</v>
      </c>
      <c r="H1444" s="74">
        <v>0.18709999999999999</v>
      </c>
    </row>
    <row r="1445" spans="1:8" ht="15.6">
      <c r="A1445" s="468" t="s">
        <v>1873</v>
      </c>
      <c r="B1445" s="67">
        <v>22</v>
      </c>
      <c r="C1445" s="69" t="s">
        <v>63</v>
      </c>
      <c r="D1445" s="71" t="s">
        <v>15</v>
      </c>
      <c r="E1445" s="70">
        <v>55.754359999999998</v>
      </c>
      <c r="F1445" s="74">
        <v>1.833</v>
      </c>
      <c r="G1445" s="70">
        <v>5.9563300000000003</v>
      </c>
      <c r="H1445" s="74">
        <v>0.1958</v>
      </c>
    </row>
    <row r="1446" spans="1:8" ht="15.6">
      <c r="A1446" s="468" t="s">
        <v>1874</v>
      </c>
      <c r="B1446" s="67">
        <v>23</v>
      </c>
      <c r="C1446" s="69" t="s">
        <v>63</v>
      </c>
      <c r="D1446" s="71" t="s">
        <v>16</v>
      </c>
      <c r="E1446" s="70">
        <v>62.207859999999997</v>
      </c>
      <c r="F1446" s="74">
        <v>2.0451999999999999</v>
      </c>
      <c r="G1446" s="70">
        <v>6.6813900000000004</v>
      </c>
      <c r="H1446" s="74">
        <v>0.21970000000000001</v>
      </c>
    </row>
    <row r="1447" spans="1:8" ht="15.6">
      <c r="A1447" s="468" t="s">
        <v>1875</v>
      </c>
      <c r="B1447" s="67">
        <v>24</v>
      </c>
      <c r="C1447" s="69" t="s">
        <v>63</v>
      </c>
      <c r="D1447" s="71" t="s">
        <v>17</v>
      </c>
      <c r="E1447" s="70">
        <v>17.800750000000001</v>
      </c>
      <c r="F1447" s="74">
        <v>0.58520000000000005</v>
      </c>
      <c r="G1447" s="70">
        <v>1.8397600000000001</v>
      </c>
      <c r="H1447" s="74">
        <v>6.0499999999999998E-2</v>
      </c>
    </row>
    <row r="1448" spans="1:8" ht="15.6">
      <c r="A1448" s="468" t="s">
        <v>1876</v>
      </c>
      <c r="B1448" s="67">
        <v>25</v>
      </c>
      <c r="C1448" s="69" t="s">
        <v>63</v>
      </c>
      <c r="D1448" s="71" t="s">
        <v>10</v>
      </c>
      <c r="E1448" s="70">
        <v>17.800750000000001</v>
      </c>
      <c r="F1448" s="74">
        <v>0.58520000000000005</v>
      </c>
      <c r="G1448" s="70">
        <v>1.8397600000000001</v>
      </c>
      <c r="H1448" s="74">
        <v>6.0499999999999998E-2</v>
      </c>
    </row>
    <row r="1449" spans="1:8" ht="15.6">
      <c r="A1449" s="468" t="s">
        <v>1877</v>
      </c>
      <c r="B1449" s="67">
        <v>26</v>
      </c>
      <c r="C1449" s="69" t="s">
        <v>63</v>
      </c>
      <c r="D1449" s="71" t="s">
        <v>22</v>
      </c>
      <c r="E1449" s="70">
        <v>55.15211</v>
      </c>
      <c r="F1449" s="74">
        <v>1.8131999999999999</v>
      </c>
      <c r="G1449" s="70">
        <v>5.8886700000000003</v>
      </c>
      <c r="H1449" s="74">
        <v>0.19359999999999999</v>
      </c>
    </row>
    <row r="1450" spans="1:8" ht="15.6">
      <c r="A1450" s="468" t="s">
        <v>1878</v>
      </c>
      <c r="B1450" s="67">
        <v>27</v>
      </c>
      <c r="C1450" s="69" t="s">
        <v>63</v>
      </c>
      <c r="D1450" s="71" t="s">
        <v>35</v>
      </c>
      <c r="E1450" s="70">
        <v>51.339080000000003</v>
      </c>
      <c r="F1450" s="74">
        <v>1.6879</v>
      </c>
      <c r="G1450" s="70">
        <v>5.4602599999999999</v>
      </c>
      <c r="H1450" s="74">
        <v>0.17949999999999999</v>
      </c>
    </row>
    <row r="1451" spans="1:8" ht="15.6">
      <c r="A1451" s="468" t="s">
        <v>1879</v>
      </c>
      <c r="B1451" s="67">
        <v>28</v>
      </c>
      <c r="C1451" s="69" t="s">
        <v>63</v>
      </c>
      <c r="D1451" s="71" t="s">
        <v>24</v>
      </c>
      <c r="E1451" s="70">
        <v>58.538089999999997</v>
      </c>
      <c r="F1451" s="74">
        <v>1.9245000000000001</v>
      </c>
      <c r="G1451" s="70">
        <v>6.2690599999999996</v>
      </c>
      <c r="H1451" s="74">
        <v>0.20610000000000001</v>
      </c>
    </row>
    <row r="1452" spans="1:8" ht="15.6">
      <c r="A1452" s="468" t="s">
        <v>1880</v>
      </c>
      <c r="B1452" s="67">
        <v>29</v>
      </c>
      <c r="C1452" s="69" t="s">
        <v>63</v>
      </c>
      <c r="D1452" s="71" t="s">
        <v>37</v>
      </c>
      <c r="E1452" s="70">
        <v>53.357219999999998</v>
      </c>
      <c r="F1452" s="74">
        <v>1.7542</v>
      </c>
      <c r="G1452" s="70">
        <v>5.6870000000000003</v>
      </c>
      <c r="H1452" s="74">
        <v>0.187</v>
      </c>
    </row>
    <row r="1453" spans="1:8" ht="15.6">
      <c r="A1453" s="468" t="s">
        <v>1881</v>
      </c>
      <c r="B1453" s="67">
        <v>30</v>
      </c>
      <c r="C1453" s="69" t="s">
        <v>63</v>
      </c>
      <c r="D1453" s="71" t="s">
        <v>38</v>
      </c>
      <c r="E1453" s="70">
        <v>44.093519999999998</v>
      </c>
      <c r="F1453" s="74">
        <v>1.4497</v>
      </c>
      <c r="G1453" s="70">
        <v>5.0116399999999999</v>
      </c>
      <c r="H1453" s="74">
        <v>0.1648</v>
      </c>
    </row>
    <row r="1454" spans="1:8" ht="15.6">
      <c r="A1454" s="468" t="s">
        <v>1882</v>
      </c>
      <c r="B1454" s="67">
        <v>31</v>
      </c>
      <c r="C1454" s="69" t="s">
        <v>63</v>
      </c>
      <c r="D1454" s="71" t="s">
        <v>26</v>
      </c>
      <c r="E1454" s="70">
        <v>58.854120000000002</v>
      </c>
      <c r="F1454" s="74">
        <v>1.9349000000000001</v>
      </c>
      <c r="G1454" s="70">
        <v>6.3045999999999998</v>
      </c>
      <c r="H1454" s="74">
        <v>0.20730000000000001</v>
      </c>
    </row>
    <row r="1455" spans="1:8" ht="15.6">
      <c r="A1455" s="468" t="s">
        <v>1883</v>
      </c>
      <c r="B1455" s="67">
        <v>32</v>
      </c>
      <c r="C1455" s="69" t="s">
        <v>63</v>
      </c>
      <c r="D1455" s="71" t="s">
        <v>52</v>
      </c>
      <c r="E1455" s="70">
        <v>17.444569999999999</v>
      </c>
      <c r="F1455" s="74">
        <v>0.57350000000000001</v>
      </c>
      <c r="G1455" s="70">
        <v>1.7967900000000001</v>
      </c>
      <c r="H1455" s="74">
        <v>5.91E-2</v>
      </c>
    </row>
    <row r="1456" spans="1:8" ht="15.6">
      <c r="A1456" s="468" t="s">
        <v>1884</v>
      </c>
      <c r="B1456" s="67">
        <v>33</v>
      </c>
      <c r="C1456" s="69" t="s">
        <v>63</v>
      </c>
      <c r="D1456" s="71" t="s">
        <v>40</v>
      </c>
      <c r="E1456" s="70">
        <v>44.226750000000003</v>
      </c>
      <c r="F1456" s="74">
        <v>1.454</v>
      </c>
      <c r="G1456" s="70">
        <v>5.0277399999999997</v>
      </c>
      <c r="H1456" s="74">
        <v>0.1653</v>
      </c>
    </row>
    <row r="1457" spans="1:8" ht="15.6">
      <c r="A1457" s="468" t="s">
        <v>1885</v>
      </c>
      <c r="B1457" s="67">
        <v>34</v>
      </c>
      <c r="C1457" s="69" t="s">
        <v>63</v>
      </c>
      <c r="D1457" s="71" t="s">
        <v>34</v>
      </c>
      <c r="E1457" s="70">
        <v>10.85328</v>
      </c>
      <c r="F1457" s="74">
        <v>0.35680000000000001</v>
      </c>
      <c r="G1457" s="70">
        <v>1.0016499999999999</v>
      </c>
      <c r="H1457" s="74">
        <v>3.2899999999999999E-2</v>
      </c>
    </row>
    <row r="1458" spans="1:8" ht="15.6">
      <c r="A1458" s="468" t="s">
        <v>1886</v>
      </c>
      <c r="B1458" s="67">
        <v>35</v>
      </c>
      <c r="C1458" s="69" t="s">
        <v>63</v>
      </c>
      <c r="D1458" s="71" t="s">
        <v>54</v>
      </c>
      <c r="E1458" s="70">
        <v>47.920850000000002</v>
      </c>
      <c r="F1458" s="74">
        <v>1.5754999999999999</v>
      </c>
      <c r="G1458" s="70">
        <v>5.0762299999999998</v>
      </c>
      <c r="H1458" s="74">
        <v>0.16689999999999999</v>
      </c>
    </row>
    <row r="1459" spans="1:8" ht="15.6">
      <c r="A1459" s="468" t="s">
        <v>1887</v>
      </c>
      <c r="B1459" s="67">
        <v>36</v>
      </c>
      <c r="C1459" s="69" t="s">
        <v>64</v>
      </c>
      <c r="D1459" s="71" t="s">
        <v>12</v>
      </c>
      <c r="E1459" s="70">
        <v>2.85521</v>
      </c>
      <c r="F1459" s="74">
        <v>9.3899999999999997E-2</v>
      </c>
      <c r="G1459" s="70">
        <v>3.6740000000000002E-2</v>
      </c>
      <c r="H1459" s="74">
        <v>1.1999999999999999E-3</v>
      </c>
    </row>
    <row r="1460" spans="1:8" ht="15.6">
      <c r="A1460" s="468" t="s">
        <v>1888</v>
      </c>
      <c r="B1460" s="67">
        <v>37</v>
      </c>
      <c r="C1460" s="69" t="s">
        <v>64</v>
      </c>
      <c r="D1460" s="71" t="s">
        <v>51</v>
      </c>
      <c r="E1460" s="70">
        <v>10.10655</v>
      </c>
      <c r="F1460" s="74">
        <v>0.33229999999999998</v>
      </c>
      <c r="G1460" s="70">
        <v>0.91156000000000004</v>
      </c>
      <c r="H1460" s="74">
        <v>0.03</v>
      </c>
    </row>
    <row r="1461" spans="1:8" ht="15.6">
      <c r="A1461" s="468" t="s">
        <v>1889</v>
      </c>
      <c r="B1461" s="67">
        <v>38</v>
      </c>
      <c r="C1461" s="69" t="s">
        <v>64</v>
      </c>
      <c r="D1461" s="71" t="s">
        <v>13</v>
      </c>
      <c r="E1461" s="70">
        <v>13.10533</v>
      </c>
      <c r="F1461" s="74">
        <v>0.43090000000000001</v>
      </c>
      <c r="G1461" s="70">
        <v>1.27332</v>
      </c>
      <c r="H1461" s="74">
        <v>4.19E-2</v>
      </c>
    </row>
    <row r="1462" spans="1:8" ht="15.6">
      <c r="A1462" s="468" t="s">
        <v>1890</v>
      </c>
      <c r="B1462" s="67">
        <v>39</v>
      </c>
      <c r="C1462" s="69" t="s">
        <v>64</v>
      </c>
      <c r="D1462" s="71" t="s">
        <v>9</v>
      </c>
      <c r="E1462" s="70">
        <v>17.657789999999999</v>
      </c>
      <c r="F1462" s="74">
        <v>0.58050000000000002</v>
      </c>
      <c r="G1462" s="70">
        <v>1.8225199999999999</v>
      </c>
      <c r="H1462" s="74">
        <v>5.9900000000000002E-2</v>
      </c>
    </row>
    <row r="1463" spans="1:8" ht="15.6">
      <c r="A1463" s="468" t="s">
        <v>1891</v>
      </c>
      <c r="B1463" s="67">
        <v>40</v>
      </c>
      <c r="C1463" s="69" t="s">
        <v>64</v>
      </c>
      <c r="D1463" s="71" t="s">
        <v>14</v>
      </c>
      <c r="E1463" s="70">
        <v>19.696619999999999</v>
      </c>
      <c r="F1463" s="74">
        <v>0.64759999999999995</v>
      </c>
      <c r="G1463" s="70">
        <v>2.06847</v>
      </c>
      <c r="H1463" s="74">
        <v>6.8000000000000005E-2</v>
      </c>
    </row>
    <row r="1464" spans="1:8" ht="15.6">
      <c r="A1464" s="468" t="s">
        <v>1892</v>
      </c>
      <c r="B1464" s="67">
        <v>41</v>
      </c>
      <c r="C1464" s="69" t="s">
        <v>64</v>
      </c>
      <c r="D1464" s="71" t="s">
        <v>33</v>
      </c>
      <c r="E1464" s="70">
        <v>28.21602</v>
      </c>
      <c r="F1464" s="74">
        <v>0.92769999999999997</v>
      </c>
      <c r="G1464" s="70">
        <v>3.0962499999999999</v>
      </c>
      <c r="H1464" s="74">
        <v>0.1018</v>
      </c>
    </row>
    <row r="1465" spans="1:8" ht="15.6">
      <c r="A1465" s="468" t="s">
        <v>1893</v>
      </c>
      <c r="B1465" s="67">
        <v>42</v>
      </c>
      <c r="C1465" s="69" t="s">
        <v>64</v>
      </c>
      <c r="D1465" s="71" t="s">
        <v>25</v>
      </c>
      <c r="E1465" s="70">
        <v>30.724789999999999</v>
      </c>
      <c r="F1465" s="74">
        <v>1.0101</v>
      </c>
      <c r="G1465" s="70">
        <v>3.3988800000000001</v>
      </c>
      <c r="H1465" s="74">
        <v>0.11169999999999999</v>
      </c>
    </row>
    <row r="1466" spans="1:8" ht="15.6">
      <c r="A1466" s="468" t="s">
        <v>1894</v>
      </c>
      <c r="B1466" s="67">
        <v>43</v>
      </c>
      <c r="C1466" s="69" t="s">
        <v>64</v>
      </c>
      <c r="D1466" s="71" t="s">
        <v>31</v>
      </c>
      <c r="E1466" s="70">
        <v>43.419490000000003</v>
      </c>
      <c r="F1466" s="74">
        <v>1.4275</v>
      </c>
      <c r="G1466" s="70">
        <v>4.9303400000000002</v>
      </c>
      <c r="H1466" s="74">
        <v>0.16209999999999999</v>
      </c>
    </row>
    <row r="1467" spans="1:8" ht="15.6">
      <c r="A1467" s="468" t="s">
        <v>1895</v>
      </c>
      <c r="B1467" s="67">
        <v>44</v>
      </c>
      <c r="C1467" s="69" t="s">
        <v>64</v>
      </c>
      <c r="D1467" s="71" t="s">
        <v>45</v>
      </c>
      <c r="E1467" s="70">
        <v>36.305030000000002</v>
      </c>
      <c r="F1467" s="74">
        <v>1.1936</v>
      </c>
      <c r="G1467" s="70">
        <v>4.0720999999999998</v>
      </c>
      <c r="H1467" s="74">
        <v>0.13389999999999999</v>
      </c>
    </row>
    <row r="1468" spans="1:8" ht="15.6">
      <c r="A1468" s="468" t="s">
        <v>1896</v>
      </c>
      <c r="B1468" s="67">
        <v>45</v>
      </c>
      <c r="C1468" s="69" t="s">
        <v>64</v>
      </c>
      <c r="D1468" s="71" t="s">
        <v>27</v>
      </c>
      <c r="E1468" s="70">
        <v>40.699019999999997</v>
      </c>
      <c r="F1468" s="74">
        <v>1.3381000000000001</v>
      </c>
      <c r="G1468" s="70">
        <v>4.6021400000000003</v>
      </c>
      <c r="H1468" s="74">
        <v>0.15129999999999999</v>
      </c>
    </row>
    <row r="1469" spans="1:8" ht="15.6">
      <c r="A1469" s="468" t="s">
        <v>1897</v>
      </c>
      <c r="B1469" s="67">
        <v>46</v>
      </c>
      <c r="C1469" s="69" t="s">
        <v>64</v>
      </c>
      <c r="D1469" s="71" t="s">
        <v>21</v>
      </c>
      <c r="E1469" s="70">
        <v>44.314950000000003</v>
      </c>
      <c r="F1469" s="74">
        <v>1.4569000000000001</v>
      </c>
      <c r="G1469" s="70">
        <v>5.0383699999999996</v>
      </c>
      <c r="H1469" s="74">
        <v>0.1656</v>
      </c>
    </row>
    <row r="1470" spans="1:8" ht="15.6">
      <c r="A1470" s="468" t="s">
        <v>1898</v>
      </c>
      <c r="B1470" s="67">
        <v>47</v>
      </c>
      <c r="C1470" s="69" t="s">
        <v>64</v>
      </c>
      <c r="D1470" s="71" t="s">
        <v>32</v>
      </c>
      <c r="E1470" s="70">
        <v>39.378329999999998</v>
      </c>
      <c r="F1470" s="74">
        <v>1.2946</v>
      </c>
      <c r="G1470" s="70">
        <v>4.4428400000000003</v>
      </c>
      <c r="H1470" s="74">
        <v>0.14610000000000001</v>
      </c>
    </row>
    <row r="1471" spans="1:8" ht="15.6">
      <c r="A1471" s="468" t="s">
        <v>1899</v>
      </c>
      <c r="B1471" s="67">
        <v>48</v>
      </c>
      <c r="C1471" s="69" t="s">
        <v>64</v>
      </c>
      <c r="D1471" s="71" t="s">
        <v>30</v>
      </c>
      <c r="E1471" s="70">
        <v>52.942639999999997</v>
      </c>
      <c r="F1471" s="74">
        <v>1.7405999999999999</v>
      </c>
      <c r="G1471" s="70">
        <v>5.6404399999999999</v>
      </c>
      <c r="H1471" s="74">
        <v>0.18540000000000001</v>
      </c>
    </row>
    <row r="1472" spans="1:8" ht="15.6">
      <c r="A1472" s="468" t="s">
        <v>1900</v>
      </c>
      <c r="B1472" s="67">
        <v>49</v>
      </c>
      <c r="C1472" s="69" t="s">
        <v>64</v>
      </c>
      <c r="D1472" s="71" t="s">
        <v>28</v>
      </c>
      <c r="E1472" s="70">
        <v>54.351849999999999</v>
      </c>
      <c r="F1472" s="74">
        <v>1.7868999999999999</v>
      </c>
      <c r="G1472" s="70">
        <v>5.7987399999999996</v>
      </c>
      <c r="H1472" s="74">
        <v>0.19059999999999999</v>
      </c>
    </row>
    <row r="1473" spans="1:8" ht="15.6">
      <c r="A1473" s="468" t="s">
        <v>1901</v>
      </c>
      <c r="B1473" s="67">
        <v>50</v>
      </c>
      <c r="C1473" s="69" t="s">
        <v>64</v>
      </c>
      <c r="D1473" s="71" t="s">
        <v>79</v>
      </c>
      <c r="E1473" s="70">
        <v>54.65784</v>
      </c>
      <c r="F1473" s="74">
        <v>1.7969999999999999</v>
      </c>
      <c r="G1473" s="70">
        <v>5.8331400000000002</v>
      </c>
      <c r="H1473" s="74">
        <v>0.1918</v>
      </c>
    </row>
    <row r="1474" spans="1:8" ht="15.6">
      <c r="A1474" s="468" t="s">
        <v>1902</v>
      </c>
      <c r="B1474" s="67">
        <v>51</v>
      </c>
      <c r="C1474" s="69" t="s">
        <v>64</v>
      </c>
      <c r="D1474" s="71" t="s">
        <v>29</v>
      </c>
      <c r="E1474" s="70">
        <v>58.438330000000001</v>
      </c>
      <c r="F1474" s="74">
        <v>1.9213</v>
      </c>
      <c r="G1474" s="70">
        <v>6.2578699999999996</v>
      </c>
      <c r="H1474" s="74">
        <v>0.20569999999999999</v>
      </c>
    </row>
    <row r="1475" spans="1:8" ht="15.6">
      <c r="A1475" s="468" t="s">
        <v>1903</v>
      </c>
      <c r="B1475" s="67">
        <v>52</v>
      </c>
      <c r="C1475" s="69" t="s">
        <v>64</v>
      </c>
      <c r="D1475" s="71" t="s">
        <v>43</v>
      </c>
      <c r="E1475" s="70">
        <v>54.449480000000001</v>
      </c>
      <c r="F1475" s="74">
        <v>1.7901</v>
      </c>
      <c r="G1475" s="70">
        <v>5.8097200000000004</v>
      </c>
      <c r="H1475" s="74">
        <v>0.191</v>
      </c>
    </row>
    <row r="1476" spans="1:8" ht="15.6">
      <c r="A1476" s="468" t="s">
        <v>1904</v>
      </c>
      <c r="B1476" s="67">
        <v>53</v>
      </c>
      <c r="C1476" s="69" t="s">
        <v>64</v>
      </c>
      <c r="D1476" s="71" t="s">
        <v>18</v>
      </c>
      <c r="E1476" s="70">
        <v>55.534140000000001</v>
      </c>
      <c r="F1476" s="74">
        <v>1.8258000000000001</v>
      </c>
      <c r="G1476" s="70">
        <v>5.9315800000000003</v>
      </c>
      <c r="H1476" s="74">
        <v>0.19500000000000001</v>
      </c>
    </row>
    <row r="1477" spans="1:8" ht="15.6">
      <c r="A1477" s="468" t="s">
        <v>1905</v>
      </c>
      <c r="B1477" s="67">
        <v>54</v>
      </c>
      <c r="C1477" s="69" t="s">
        <v>64</v>
      </c>
      <c r="D1477" s="71" t="s">
        <v>76</v>
      </c>
      <c r="E1477" s="70">
        <v>54.449480000000001</v>
      </c>
      <c r="F1477" s="74">
        <v>1.7901</v>
      </c>
      <c r="G1477" s="70">
        <v>5.8097200000000004</v>
      </c>
      <c r="H1477" s="74">
        <v>0.191</v>
      </c>
    </row>
    <row r="1478" spans="1:8" ht="15.6">
      <c r="A1478" s="468" t="s">
        <v>1906</v>
      </c>
      <c r="B1478" s="67">
        <v>55</v>
      </c>
      <c r="C1478" s="69" t="s">
        <v>64</v>
      </c>
      <c r="D1478" s="71" t="s">
        <v>19</v>
      </c>
      <c r="E1478" s="70">
        <v>57.197929999999999</v>
      </c>
      <c r="F1478" s="74">
        <v>1.8805000000000001</v>
      </c>
      <c r="G1478" s="70">
        <v>6.1185</v>
      </c>
      <c r="H1478" s="74">
        <v>0.20119999999999999</v>
      </c>
    </row>
    <row r="1479" spans="1:8" ht="15.6">
      <c r="A1479" s="468" t="s">
        <v>1907</v>
      </c>
      <c r="B1479" s="67">
        <v>56</v>
      </c>
      <c r="C1479" s="69" t="s">
        <v>64</v>
      </c>
      <c r="D1479" s="71" t="s">
        <v>23</v>
      </c>
      <c r="E1479" s="70">
        <v>59.631270000000001</v>
      </c>
      <c r="F1479" s="74">
        <v>1.9604999999999999</v>
      </c>
      <c r="G1479" s="70">
        <v>6.3918900000000001</v>
      </c>
      <c r="H1479" s="74">
        <v>0.21010000000000001</v>
      </c>
    </row>
    <row r="1480" spans="1:8" ht="15.6">
      <c r="A1480" s="468" t="s">
        <v>1908</v>
      </c>
      <c r="B1480" s="67">
        <v>57</v>
      </c>
      <c r="C1480" s="69" t="s">
        <v>64</v>
      </c>
      <c r="D1480" s="71" t="s">
        <v>20</v>
      </c>
      <c r="E1480" s="70">
        <v>61.234830000000002</v>
      </c>
      <c r="F1480" s="74">
        <v>2.0131999999999999</v>
      </c>
      <c r="G1480" s="70">
        <v>6.5720299999999998</v>
      </c>
      <c r="H1480" s="74">
        <v>0.21609999999999999</v>
      </c>
    </row>
    <row r="1481" spans="1:8" ht="15.6">
      <c r="A1481" s="468" t="s">
        <v>1909</v>
      </c>
      <c r="B1481" s="67">
        <v>58</v>
      </c>
      <c r="C1481" s="69" t="s">
        <v>64</v>
      </c>
      <c r="D1481" s="71" t="s">
        <v>53</v>
      </c>
      <c r="E1481" s="70">
        <v>50.338979999999999</v>
      </c>
      <c r="F1481" s="74">
        <v>1.655</v>
      </c>
      <c r="G1481" s="70">
        <v>5.3479000000000001</v>
      </c>
      <c r="H1481" s="74">
        <v>0.17580000000000001</v>
      </c>
    </row>
    <row r="1482" spans="1:8" ht="15.6">
      <c r="A1482" s="468" t="s">
        <v>1910</v>
      </c>
      <c r="B1482" s="67">
        <v>59</v>
      </c>
      <c r="C1482" s="69" t="s">
        <v>64</v>
      </c>
      <c r="D1482" s="71" t="s">
        <v>41</v>
      </c>
      <c r="E1482" s="70">
        <v>50.274189999999997</v>
      </c>
      <c r="F1482" s="74">
        <v>1.6529</v>
      </c>
      <c r="G1482" s="70">
        <v>5.3406000000000002</v>
      </c>
      <c r="H1482" s="74">
        <v>0.17560000000000001</v>
      </c>
    </row>
    <row r="1483" spans="1:8" ht="15.6">
      <c r="A1483" s="468" t="s">
        <v>1911</v>
      </c>
      <c r="B1483" s="67">
        <v>60</v>
      </c>
      <c r="C1483" s="69" t="s">
        <v>64</v>
      </c>
      <c r="D1483" s="71" t="s">
        <v>36</v>
      </c>
      <c r="E1483" s="70">
        <v>55.818539999999999</v>
      </c>
      <c r="F1483" s="74">
        <v>1.8351</v>
      </c>
      <c r="G1483" s="70">
        <v>5.9635400000000001</v>
      </c>
      <c r="H1483" s="74">
        <v>0.1961</v>
      </c>
    </row>
    <row r="1484" spans="1:8" ht="15.6">
      <c r="A1484" s="468" t="s">
        <v>1912</v>
      </c>
      <c r="B1484" s="67">
        <v>61</v>
      </c>
      <c r="C1484" s="69" t="s">
        <v>64</v>
      </c>
      <c r="D1484" s="71" t="s">
        <v>15</v>
      </c>
      <c r="E1484" s="70">
        <v>58.17248</v>
      </c>
      <c r="F1484" s="74">
        <v>1.9125000000000001</v>
      </c>
      <c r="G1484" s="70">
        <v>6.2280100000000003</v>
      </c>
      <c r="H1484" s="74">
        <v>0.20480000000000001</v>
      </c>
    </row>
    <row r="1485" spans="1:8" ht="15.6">
      <c r="A1485" s="468" t="s">
        <v>1913</v>
      </c>
      <c r="B1485" s="67">
        <v>62</v>
      </c>
      <c r="C1485" s="69" t="s">
        <v>64</v>
      </c>
      <c r="D1485" s="71" t="s">
        <v>16</v>
      </c>
      <c r="E1485" s="70">
        <v>64.625990000000002</v>
      </c>
      <c r="F1485" s="74">
        <v>2.1246999999999998</v>
      </c>
      <c r="G1485" s="70">
        <v>6.9530700000000003</v>
      </c>
      <c r="H1485" s="74">
        <v>0.2286</v>
      </c>
    </row>
    <row r="1486" spans="1:8" ht="15.6">
      <c r="A1486" s="468" t="s">
        <v>1914</v>
      </c>
      <c r="B1486" s="67">
        <v>63</v>
      </c>
      <c r="C1486" s="69" t="s">
        <v>64</v>
      </c>
      <c r="D1486" s="71" t="s">
        <v>17</v>
      </c>
      <c r="E1486" s="70">
        <v>20.052489999999999</v>
      </c>
      <c r="F1486" s="74">
        <v>0.6593</v>
      </c>
      <c r="G1486" s="70">
        <v>2.11144</v>
      </c>
      <c r="H1486" s="74">
        <v>6.9400000000000003E-2</v>
      </c>
    </row>
    <row r="1487" spans="1:8" ht="15.6">
      <c r="A1487" s="468" t="s">
        <v>1915</v>
      </c>
      <c r="B1487" s="67">
        <v>64</v>
      </c>
      <c r="C1487" s="69" t="s">
        <v>64</v>
      </c>
      <c r="D1487" s="71" t="s">
        <v>10</v>
      </c>
      <c r="E1487" s="70">
        <v>20.052489999999999</v>
      </c>
      <c r="F1487" s="74">
        <v>0.6593</v>
      </c>
      <c r="G1487" s="70">
        <v>2.11144</v>
      </c>
      <c r="H1487" s="74">
        <v>6.9400000000000003E-2</v>
      </c>
    </row>
    <row r="1488" spans="1:8" ht="15.6">
      <c r="A1488" s="468" t="s">
        <v>1916</v>
      </c>
      <c r="B1488" s="67">
        <v>65</v>
      </c>
      <c r="C1488" s="69" t="s">
        <v>64</v>
      </c>
      <c r="D1488" s="71" t="s">
        <v>22</v>
      </c>
      <c r="E1488" s="70">
        <v>57.570230000000002</v>
      </c>
      <c r="F1488" s="74">
        <v>1.8927</v>
      </c>
      <c r="G1488" s="70">
        <v>6.1603500000000002</v>
      </c>
      <c r="H1488" s="74">
        <v>0.20250000000000001</v>
      </c>
    </row>
    <row r="1489" spans="1:8" ht="15.6">
      <c r="A1489" s="468" t="s">
        <v>1917</v>
      </c>
      <c r="B1489" s="67">
        <v>66</v>
      </c>
      <c r="C1489" s="69" t="s">
        <v>64</v>
      </c>
      <c r="D1489" s="71" t="s">
        <v>35</v>
      </c>
      <c r="E1489" s="70">
        <v>53.757199999999997</v>
      </c>
      <c r="F1489" s="74">
        <v>1.7674000000000001</v>
      </c>
      <c r="G1489" s="70">
        <v>5.7319399999999998</v>
      </c>
      <c r="H1489" s="74">
        <v>0.1885</v>
      </c>
    </row>
    <row r="1490" spans="1:8" ht="15.6">
      <c r="A1490" s="468" t="s">
        <v>1918</v>
      </c>
      <c r="B1490" s="67">
        <v>67</v>
      </c>
      <c r="C1490" s="69" t="s">
        <v>64</v>
      </c>
      <c r="D1490" s="71" t="s">
        <v>24</v>
      </c>
      <c r="E1490" s="70">
        <v>60.956220000000002</v>
      </c>
      <c r="F1490" s="74">
        <v>2.004</v>
      </c>
      <c r="G1490" s="70">
        <v>6.5407400000000004</v>
      </c>
      <c r="H1490" s="74">
        <v>0.215</v>
      </c>
    </row>
    <row r="1491" spans="1:8" ht="15.6">
      <c r="A1491" s="468" t="s">
        <v>1919</v>
      </c>
      <c r="B1491" s="67">
        <v>68</v>
      </c>
      <c r="C1491" s="69" t="s">
        <v>64</v>
      </c>
      <c r="D1491" s="71" t="s">
        <v>37</v>
      </c>
      <c r="E1491" s="70">
        <v>55.775350000000003</v>
      </c>
      <c r="F1491" s="74">
        <v>1.8337000000000001</v>
      </c>
      <c r="G1491" s="70">
        <v>5.9586699999999997</v>
      </c>
      <c r="H1491" s="74">
        <v>0.19589999999999999</v>
      </c>
    </row>
    <row r="1492" spans="1:8" ht="15.6">
      <c r="A1492" s="468" t="s">
        <v>1920</v>
      </c>
      <c r="B1492" s="67">
        <v>69</v>
      </c>
      <c r="C1492" s="69" t="s">
        <v>64</v>
      </c>
      <c r="D1492" s="71" t="s">
        <v>38</v>
      </c>
      <c r="E1492" s="70">
        <v>46.345570000000002</v>
      </c>
      <c r="F1492" s="74">
        <v>1.5237000000000001</v>
      </c>
      <c r="G1492" s="70">
        <v>5.2833199999999998</v>
      </c>
      <c r="H1492" s="74">
        <v>0.17369999999999999</v>
      </c>
    </row>
    <row r="1493" spans="1:8" ht="15.6">
      <c r="A1493" s="468" t="s">
        <v>1921</v>
      </c>
      <c r="B1493" s="67">
        <v>70</v>
      </c>
      <c r="C1493" s="69" t="s">
        <v>64</v>
      </c>
      <c r="D1493" s="71" t="s">
        <v>26</v>
      </c>
      <c r="E1493" s="70">
        <v>61.272550000000003</v>
      </c>
      <c r="F1493" s="74">
        <v>2.0144000000000002</v>
      </c>
      <c r="G1493" s="70">
        <v>6.5762799999999997</v>
      </c>
      <c r="H1493" s="74">
        <v>0.2162</v>
      </c>
    </row>
    <row r="1494" spans="1:8" ht="15.6">
      <c r="A1494" s="468" t="s">
        <v>1922</v>
      </c>
      <c r="B1494" s="67">
        <v>71</v>
      </c>
      <c r="C1494" s="69" t="s">
        <v>64</v>
      </c>
      <c r="D1494" s="71" t="s">
        <v>52</v>
      </c>
      <c r="E1494" s="70">
        <v>19.696619999999999</v>
      </c>
      <c r="F1494" s="74">
        <v>0.64759999999999995</v>
      </c>
      <c r="G1494" s="70">
        <v>2.06847</v>
      </c>
      <c r="H1494" s="74">
        <v>6.8000000000000005E-2</v>
      </c>
    </row>
    <row r="1495" spans="1:8" ht="15.6">
      <c r="A1495" s="468" t="s">
        <v>1923</v>
      </c>
      <c r="B1495" s="67">
        <v>72</v>
      </c>
      <c r="C1495" s="69" t="s">
        <v>64</v>
      </c>
      <c r="D1495" s="71" t="s">
        <v>40</v>
      </c>
      <c r="E1495" s="70">
        <v>46.4788</v>
      </c>
      <c r="F1495" s="74">
        <v>1.5281</v>
      </c>
      <c r="G1495" s="70">
        <v>5.2994199999999996</v>
      </c>
      <c r="H1495" s="74">
        <v>0.17419999999999999</v>
      </c>
    </row>
    <row r="1496" spans="1:8" ht="15.6">
      <c r="A1496" s="468" t="s">
        <v>1924</v>
      </c>
      <c r="B1496" s="67">
        <v>73</v>
      </c>
      <c r="C1496" s="69" t="s">
        <v>64</v>
      </c>
      <c r="D1496" s="71" t="s">
        <v>34</v>
      </c>
      <c r="E1496" s="70">
        <v>13.10533</v>
      </c>
      <c r="F1496" s="74">
        <v>0.43090000000000001</v>
      </c>
      <c r="G1496" s="70">
        <v>1.27332</v>
      </c>
      <c r="H1496" s="74">
        <v>4.19E-2</v>
      </c>
    </row>
    <row r="1497" spans="1:8" ht="15.6">
      <c r="A1497" s="468" t="s">
        <v>1925</v>
      </c>
      <c r="B1497" s="67">
        <v>74</v>
      </c>
      <c r="C1497" s="69" t="s">
        <v>64</v>
      </c>
      <c r="D1497" s="71" t="s">
        <v>54</v>
      </c>
      <c r="E1497" s="70">
        <v>50.338979999999999</v>
      </c>
      <c r="F1497" s="74">
        <v>1.655</v>
      </c>
      <c r="G1497" s="70">
        <v>5.3479000000000001</v>
      </c>
      <c r="H1497" s="74">
        <v>0.17580000000000001</v>
      </c>
    </row>
    <row r="1498" spans="1:8" ht="15.6">
      <c r="A1498" s="468" t="s">
        <v>1926</v>
      </c>
      <c r="B1498" s="67">
        <v>75</v>
      </c>
      <c r="C1498" s="69" t="s">
        <v>51</v>
      </c>
      <c r="D1498" s="71" t="s">
        <v>12</v>
      </c>
      <c r="E1498" s="70" t="s">
        <v>286</v>
      </c>
      <c r="F1498" s="74">
        <v>0.33339999999999997</v>
      </c>
      <c r="G1498" s="70" t="s">
        <v>286</v>
      </c>
      <c r="H1498" s="74">
        <v>3.0099999999999998E-2</v>
      </c>
    </row>
    <row r="1499" spans="1:8" ht="15.6">
      <c r="A1499" s="468" t="s">
        <v>1927</v>
      </c>
      <c r="B1499" s="67">
        <v>76</v>
      </c>
      <c r="C1499" s="69" t="s">
        <v>51</v>
      </c>
      <c r="D1499" s="71" t="s">
        <v>51</v>
      </c>
      <c r="E1499" s="70" t="s">
        <v>286</v>
      </c>
      <c r="F1499" s="74">
        <v>9.2700000000000005E-2</v>
      </c>
      <c r="G1499" s="70" t="s">
        <v>286</v>
      </c>
      <c r="H1499" s="74">
        <v>1.1000000000000001E-3</v>
      </c>
    </row>
    <row r="1500" spans="1:8" ht="15.6">
      <c r="A1500" s="468" t="s">
        <v>1928</v>
      </c>
      <c r="B1500" s="67">
        <v>77</v>
      </c>
      <c r="C1500" s="69" t="s">
        <v>51</v>
      </c>
      <c r="D1500" s="71" t="s">
        <v>13</v>
      </c>
      <c r="E1500" s="70" t="s">
        <v>286</v>
      </c>
      <c r="F1500" s="74">
        <v>0.1913</v>
      </c>
      <c r="G1500" s="70" t="s">
        <v>286</v>
      </c>
      <c r="H1500" s="74">
        <v>1.2999999999999999E-2</v>
      </c>
    </row>
    <row r="1501" spans="1:8" ht="15.6">
      <c r="A1501" s="468" t="s">
        <v>1929</v>
      </c>
      <c r="B1501" s="67">
        <v>1</v>
      </c>
      <c r="C1501" s="69" t="s">
        <v>51</v>
      </c>
      <c r="D1501" s="71" t="s">
        <v>9</v>
      </c>
      <c r="E1501" s="70" t="s">
        <v>286</v>
      </c>
      <c r="F1501" s="74">
        <v>0.34100000000000003</v>
      </c>
      <c r="G1501" s="70" t="s">
        <v>286</v>
      </c>
      <c r="H1501" s="74">
        <v>3.1E-2</v>
      </c>
    </row>
    <row r="1502" spans="1:8" ht="15.6">
      <c r="A1502" s="468" t="s">
        <v>1930</v>
      </c>
      <c r="B1502" s="67">
        <v>2</v>
      </c>
      <c r="C1502" s="69" t="s">
        <v>51</v>
      </c>
      <c r="D1502" s="71" t="s">
        <v>14</v>
      </c>
      <c r="E1502" s="70" t="s">
        <v>286</v>
      </c>
      <c r="F1502" s="74">
        <v>0.40799999999999997</v>
      </c>
      <c r="G1502" s="70" t="s">
        <v>286</v>
      </c>
      <c r="H1502" s="74">
        <v>3.9100000000000003E-2</v>
      </c>
    </row>
    <row r="1503" spans="1:8" ht="15.6">
      <c r="A1503" s="468" t="s">
        <v>1931</v>
      </c>
      <c r="B1503" s="67">
        <v>3</v>
      </c>
      <c r="C1503" s="69" t="s">
        <v>51</v>
      </c>
      <c r="D1503" s="71" t="s">
        <v>33</v>
      </c>
      <c r="E1503" s="70" t="s">
        <v>286</v>
      </c>
      <c r="F1503" s="74">
        <v>0.68810000000000004</v>
      </c>
      <c r="G1503" s="70" t="s">
        <v>286</v>
      </c>
      <c r="H1503" s="74">
        <v>7.2900000000000006E-2</v>
      </c>
    </row>
    <row r="1504" spans="1:8" ht="15.6">
      <c r="A1504" s="468" t="s">
        <v>1932</v>
      </c>
      <c r="B1504" s="67">
        <v>4</v>
      </c>
      <c r="C1504" s="69" t="s">
        <v>51</v>
      </c>
      <c r="D1504" s="71" t="s">
        <v>25</v>
      </c>
      <c r="E1504" s="70" t="s">
        <v>286</v>
      </c>
      <c r="F1504" s="74">
        <v>0.77059999999999995</v>
      </c>
      <c r="G1504" s="70" t="s">
        <v>286</v>
      </c>
      <c r="H1504" s="74">
        <v>8.2900000000000001E-2</v>
      </c>
    </row>
    <row r="1505" spans="1:8" ht="15.6">
      <c r="A1505" s="468" t="s">
        <v>1933</v>
      </c>
      <c r="B1505" s="67">
        <v>5</v>
      </c>
      <c r="C1505" s="69" t="s">
        <v>51</v>
      </c>
      <c r="D1505" s="71" t="s">
        <v>31</v>
      </c>
      <c r="E1505" s="70" t="s">
        <v>286</v>
      </c>
      <c r="F1505" s="74">
        <v>1.1879</v>
      </c>
      <c r="G1505" s="70" t="s">
        <v>286</v>
      </c>
      <c r="H1505" s="74">
        <v>0.13320000000000001</v>
      </c>
    </row>
    <row r="1506" spans="1:8" ht="15.6">
      <c r="A1506" s="468" t="s">
        <v>1934</v>
      </c>
      <c r="B1506" s="67">
        <v>6</v>
      </c>
      <c r="C1506" s="69" t="s">
        <v>51</v>
      </c>
      <c r="D1506" s="71" t="s">
        <v>45</v>
      </c>
      <c r="E1506" s="70" t="s">
        <v>286</v>
      </c>
      <c r="F1506" s="74">
        <v>0.95409999999999995</v>
      </c>
      <c r="G1506" s="70" t="s">
        <v>286</v>
      </c>
      <c r="H1506" s="74">
        <v>0.105</v>
      </c>
    </row>
    <row r="1507" spans="1:8" ht="15.6">
      <c r="A1507" s="468" t="s">
        <v>1935</v>
      </c>
      <c r="B1507" s="67">
        <v>7</v>
      </c>
      <c r="C1507" s="69" t="s">
        <v>51</v>
      </c>
      <c r="D1507" s="71" t="s">
        <v>27</v>
      </c>
      <c r="E1507" s="70" t="s">
        <v>286</v>
      </c>
      <c r="F1507" s="74">
        <v>1.0985</v>
      </c>
      <c r="G1507" s="70" t="s">
        <v>286</v>
      </c>
      <c r="H1507" s="74">
        <v>0.12239999999999999</v>
      </c>
    </row>
    <row r="1508" spans="1:8" ht="15.6">
      <c r="A1508" s="468" t="s">
        <v>1936</v>
      </c>
      <c r="B1508" s="67">
        <v>8</v>
      </c>
      <c r="C1508" s="69" t="s">
        <v>51</v>
      </c>
      <c r="D1508" s="71" t="s">
        <v>21</v>
      </c>
      <c r="E1508" s="70" t="s">
        <v>286</v>
      </c>
      <c r="F1508" s="74">
        <v>1.2174</v>
      </c>
      <c r="G1508" s="70" t="s">
        <v>286</v>
      </c>
      <c r="H1508" s="74">
        <v>0.1368</v>
      </c>
    </row>
    <row r="1509" spans="1:8" ht="15.6">
      <c r="A1509" s="468" t="s">
        <v>1937</v>
      </c>
      <c r="B1509" s="67">
        <v>9</v>
      </c>
      <c r="C1509" s="69" t="s">
        <v>51</v>
      </c>
      <c r="D1509" s="71" t="s">
        <v>32</v>
      </c>
      <c r="E1509" s="70" t="s">
        <v>286</v>
      </c>
      <c r="F1509" s="74">
        <v>1.0550999999999999</v>
      </c>
      <c r="G1509" s="70" t="s">
        <v>286</v>
      </c>
      <c r="H1509" s="74">
        <v>0.1172</v>
      </c>
    </row>
    <row r="1510" spans="1:8" ht="15.6">
      <c r="A1510" s="468" t="s">
        <v>1938</v>
      </c>
      <c r="B1510" s="67">
        <v>10</v>
      </c>
      <c r="C1510" s="69" t="s">
        <v>51</v>
      </c>
      <c r="D1510" s="71" t="s">
        <v>30</v>
      </c>
      <c r="E1510" s="70" t="s">
        <v>286</v>
      </c>
      <c r="F1510" s="74">
        <v>1.4834000000000001</v>
      </c>
      <c r="G1510" s="70" t="s">
        <v>286</v>
      </c>
      <c r="H1510" s="74">
        <v>0.1565</v>
      </c>
    </row>
    <row r="1511" spans="1:8" ht="15.6">
      <c r="A1511" s="468" t="s">
        <v>1939</v>
      </c>
      <c r="B1511" s="67">
        <v>11</v>
      </c>
      <c r="C1511" s="69" t="s">
        <v>51</v>
      </c>
      <c r="D1511" s="71" t="s">
        <v>28</v>
      </c>
      <c r="E1511" s="70" t="s">
        <v>286</v>
      </c>
      <c r="F1511" s="74">
        <v>1.5297000000000001</v>
      </c>
      <c r="G1511" s="70" t="s">
        <v>286</v>
      </c>
      <c r="H1511" s="74">
        <v>0.1618</v>
      </c>
    </row>
    <row r="1512" spans="1:8" ht="15.6">
      <c r="A1512" s="468" t="s">
        <v>1940</v>
      </c>
      <c r="B1512" s="67">
        <v>12</v>
      </c>
      <c r="C1512" s="69" t="s">
        <v>51</v>
      </c>
      <c r="D1512" s="71" t="s">
        <v>79</v>
      </c>
      <c r="E1512" s="70" t="s">
        <v>286</v>
      </c>
      <c r="F1512" s="74">
        <v>1.5398000000000001</v>
      </c>
      <c r="G1512" s="70" t="s">
        <v>286</v>
      </c>
      <c r="H1512" s="74">
        <v>0.16289999999999999</v>
      </c>
    </row>
    <row r="1513" spans="1:8" ht="15.6">
      <c r="A1513" s="468" t="s">
        <v>1941</v>
      </c>
      <c r="B1513" s="67">
        <v>13</v>
      </c>
      <c r="C1513" s="69" t="s">
        <v>51</v>
      </c>
      <c r="D1513" s="71" t="s">
        <v>29</v>
      </c>
      <c r="E1513" s="70" t="s">
        <v>286</v>
      </c>
      <c r="F1513" s="74">
        <v>1.6640999999999999</v>
      </c>
      <c r="G1513" s="70" t="s">
        <v>286</v>
      </c>
      <c r="H1513" s="74">
        <v>0.17680000000000001</v>
      </c>
    </row>
    <row r="1514" spans="1:8" ht="15.6">
      <c r="A1514" s="468" t="s">
        <v>1942</v>
      </c>
      <c r="B1514" s="67">
        <v>14</v>
      </c>
      <c r="C1514" s="69" t="s">
        <v>51</v>
      </c>
      <c r="D1514" s="71" t="s">
        <v>43</v>
      </c>
      <c r="E1514" s="70" t="s">
        <v>286</v>
      </c>
      <c r="F1514" s="74">
        <v>1.5328999999999999</v>
      </c>
      <c r="G1514" s="70" t="s">
        <v>286</v>
      </c>
      <c r="H1514" s="74">
        <v>0.16209999999999999</v>
      </c>
    </row>
    <row r="1515" spans="1:8" ht="15.6">
      <c r="A1515" s="468" t="s">
        <v>1943</v>
      </c>
      <c r="B1515" s="67">
        <v>15</v>
      </c>
      <c r="C1515" s="69" t="s">
        <v>51</v>
      </c>
      <c r="D1515" s="71" t="s">
        <v>18</v>
      </c>
      <c r="E1515" s="70" t="s">
        <v>286</v>
      </c>
      <c r="F1515" s="74">
        <v>1.5685</v>
      </c>
      <c r="G1515" s="70" t="s">
        <v>286</v>
      </c>
      <c r="H1515" s="74">
        <v>0.1661</v>
      </c>
    </row>
    <row r="1516" spans="1:8" ht="15.6">
      <c r="A1516" s="468" t="s">
        <v>1944</v>
      </c>
      <c r="B1516" s="67">
        <v>16</v>
      </c>
      <c r="C1516" s="69" t="s">
        <v>51</v>
      </c>
      <c r="D1516" s="71" t="s">
        <v>76</v>
      </c>
      <c r="E1516" s="70" t="s">
        <v>286</v>
      </c>
      <c r="F1516" s="74">
        <v>1.5328999999999999</v>
      </c>
      <c r="G1516" s="70" t="s">
        <v>286</v>
      </c>
      <c r="H1516" s="74">
        <v>0.16209999999999999</v>
      </c>
    </row>
    <row r="1517" spans="1:8" ht="15.6">
      <c r="A1517" s="468" t="s">
        <v>1945</v>
      </c>
      <c r="B1517" s="67">
        <v>17</v>
      </c>
      <c r="C1517" s="69" t="s">
        <v>51</v>
      </c>
      <c r="D1517" s="71" t="s">
        <v>19</v>
      </c>
      <c r="E1517" s="70" t="s">
        <v>286</v>
      </c>
      <c r="F1517" s="74">
        <v>1.6233</v>
      </c>
      <c r="G1517" s="70" t="s">
        <v>286</v>
      </c>
      <c r="H1517" s="74">
        <v>0.17230000000000001</v>
      </c>
    </row>
    <row r="1518" spans="1:8" ht="15.6">
      <c r="A1518" s="468" t="s">
        <v>1946</v>
      </c>
      <c r="B1518" s="67">
        <v>18</v>
      </c>
      <c r="C1518" s="69" t="s">
        <v>51</v>
      </c>
      <c r="D1518" s="71" t="s">
        <v>23</v>
      </c>
      <c r="E1518" s="70" t="s">
        <v>286</v>
      </c>
      <c r="F1518" s="74">
        <v>1.7033</v>
      </c>
      <c r="G1518" s="70" t="s">
        <v>286</v>
      </c>
      <c r="H1518" s="74">
        <v>0.18129999999999999</v>
      </c>
    </row>
    <row r="1519" spans="1:8" ht="15.6">
      <c r="A1519" s="468" t="s">
        <v>1947</v>
      </c>
      <c r="B1519" s="67">
        <v>19</v>
      </c>
      <c r="C1519" s="69" t="s">
        <v>51</v>
      </c>
      <c r="D1519" s="71" t="s">
        <v>20</v>
      </c>
      <c r="E1519" s="70" t="s">
        <v>286</v>
      </c>
      <c r="F1519" s="74">
        <v>1.7559</v>
      </c>
      <c r="G1519" s="70" t="s">
        <v>286</v>
      </c>
      <c r="H1519" s="74">
        <v>0.18720000000000001</v>
      </c>
    </row>
    <row r="1520" spans="1:8" ht="15.6">
      <c r="A1520" s="468" t="s">
        <v>1948</v>
      </c>
      <c r="B1520" s="67">
        <v>20</v>
      </c>
      <c r="C1520" s="69" t="s">
        <v>51</v>
      </c>
      <c r="D1520" s="71" t="s">
        <v>53</v>
      </c>
      <c r="E1520" s="70" t="s">
        <v>286</v>
      </c>
      <c r="F1520" s="74">
        <v>1.3977999999999999</v>
      </c>
      <c r="G1520" s="70" t="s">
        <v>286</v>
      </c>
      <c r="H1520" s="74">
        <v>0.1469</v>
      </c>
    </row>
    <row r="1521" spans="1:8" ht="15.6">
      <c r="A1521" s="468" t="s">
        <v>1949</v>
      </c>
      <c r="B1521" s="67">
        <v>21</v>
      </c>
      <c r="C1521" s="69" t="s">
        <v>51</v>
      </c>
      <c r="D1521" s="71" t="s">
        <v>41</v>
      </c>
      <c r="E1521" s="70" t="s">
        <v>286</v>
      </c>
      <c r="F1521" s="74">
        <v>1.3956999999999999</v>
      </c>
      <c r="G1521" s="70" t="s">
        <v>286</v>
      </c>
      <c r="H1521" s="74">
        <v>0.1467</v>
      </c>
    </row>
    <row r="1522" spans="1:8" ht="15.6">
      <c r="A1522" s="468" t="s">
        <v>1950</v>
      </c>
      <c r="B1522" s="67">
        <v>22</v>
      </c>
      <c r="C1522" s="69" t="s">
        <v>51</v>
      </c>
      <c r="D1522" s="71" t="s">
        <v>36</v>
      </c>
      <c r="E1522" s="70" t="s">
        <v>286</v>
      </c>
      <c r="F1522" s="74">
        <v>1.5779000000000001</v>
      </c>
      <c r="G1522" s="70" t="s">
        <v>286</v>
      </c>
      <c r="H1522" s="74">
        <v>0.16719999999999999</v>
      </c>
    </row>
    <row r="1523" spans="1:8" ht="15.6">
      <c r="A1523" s="468" t="s">
        <v>1951</v>
      </c>
      <c r="B1523" s="67">
        <v>23</v>
      </c>
      <c r="C1523" s="69" t="s">
        <v>51</v>
      </c>
      <c r="D1523" s="71" t="s">
        <v>15</v>
      </c>
      <c r="E1523" s="70" t="s">
        <v>286</v>
      </c>
      <c r="F1523" s="74">
        <v>1.6553</v>
      </c>
      <c r="G1523" s="70" t="s">
        <v>286</v>
      </c>
      <c r="H1523" s="74">
        <v>0.1759</v>
      </c>
    </row>
    <row r="1524" spans="1:8" ht="15.6">
      <c r="A1524" s="468" t="s">
        <v>1952</v>
      </c>
      <c r="B1524" s="67">
        <v>24</v>
      </c>
      <c r="C1524" s="69" t="s">
        <v>51</v>
      </c>
      <c r="D1524" s="71" t="s">
        <v>16</v>
      </c>
      <c r="E1524" s="70" t="s">
        <v>286</v>
      </c>
      <c r="F1524" s="74">
        <v>1.8674999999999999</v>
      </c>
      <c r="G1524" s="70" t="s">
        <v>286</v>
      </c>
      <c r="H1524" s="74">
        <v>0.19969999999999999</v>
      </c>
    </row>
    <row r="1525" spans="1:8" ht="15.6">
      <c r="A1525" s="468" t="s">
        <v>1953</v>
      </c>
      <c r="B1525" s="67">
        <v>25</v>
      </c>
      <c r="C1525" s="69" t="s">
        <v>51</v>
      </c>
      <c r="D1525" s="71" t="s">
        <v>17</v>
      </c>
      <c r="E1525" s="70" t="s">
        <v>286</v>
      </c>
      <c r="F1525" s="74">
        <v>0.41970000000000002</v>
      </c>
      <c r="G1525" s="70" t="s">
        <v>286</v>
      </c>
      <c r="H1525" s="74">
        <v>4.0500000000000001E-2</v>
      </c>
    </row>
    <row r="1526" spans="1:8" ht="15.6">
      <c r="A1526" s="468" t="s">
        <v>1954</v>
      </c>
      <c r="B1526" s="67">
        <v>26</v>
      </c>
      <c r="C1526" s="69" t="s">
        <v>51</v>
      </c>
      <c r="D1526" s="71" t="s">
        <v>10</v>
      </c>
      <c r="E1526" s="70" t="s">
        <v>286</v>
      </c>
      <c r="F1526" s="74">
        <v>0.41970000000000002</v>
      </c>
      <c r="G1526" s="70" t="s">
        <v>286</v>
      </c>
      <c r="H1526" s="74">
        <v>4.0500000000000001E-2</v>
      </c>
    </row>
    <row r="1527" spans="1:8" ht="15.6">
      <c r="A1527" s="468" t="s">
        <v>1955</v>
      </c>
      <c r="B1527" s="67">
        <v>27</v>
      </c>
      <c r="C1527" s="69" t="s">
        <v>51</v>
      </c>
      <c r="D1527" s="71" t="s">
        <v>22</v>
      </c>
      <c r="E1527" s="70" t="s">
        <v>286</v>
      </c>
      <c r="F1527" s="74">
        <v>1.6355</v>
      </c>
      <c r="G1527" s="70" t="s">
        <v>286</v>
      </c>
      <c r="H1527" s="74">
        <v>0.1736</v>
      </c>
    </row>
    <row r="1528" spans="1:8" ht="15.6">
      <c r="A1528" s="468" t="s">
        <v>1956</v>
      </c>
      <c r="B1528" s="67">
        <v>28</v>
      </c>
      <c r="C1528" s="69" t="s">
        <v>51</v>
      </c>
      <c r="D1528" s="71" t="s">
        <v>35</v>
      </c>
      <c r="E1528" s="70" t="s">
        <v>286</v>
      </c>
      <c r="F1528" s="74">
        <v>1.5102</v>
      </c>
      <c r="G1528" s="70" t="s">
        <v>286</v>
      </c>
      <c r="H1528" s="74">
        <v>0.15959999999999999</v>
      </c>
    </row>
    <row r="1529" spans="1:8" ht="15.6">
      <c r="A1529" s="468" t="s">
        <v>1957</v>
      </c>
      <c r="B1529" s="67">
        <v>29</v>
      </c>
      <c r="C1529" s="69" t="s">
        <v>51</v>
      </c>
      <c r="D1529" s="71" t="s">
        <v>24</v>
      </c>
      <c r="E1529" s="70" t="s">
        <v>286</v>
      </c>
      <c r="F1529" s="74">
        <v>1.7467999999999999</v>
      </c>
      <c r="G1529" s="70" t="s">
        <v>286</v>
      </c>
      <c r="H1529" s="74">
        <v>0.18609999999999999</v>
      </c>
    </row>
    <row r="1530" spans="1:8" ht="15.6">
      <c r="A1530" s="468" t="s">
        <v>1958</v>
      </c>
      <c r="B1530" s="67">
        <v>30</v>
      </c>
      <c r="C1530" s="69" t="s">
        <v>51</v>
      </c>
      <c r="D1530" s="71" t="s">
        <v>37</v>
      </c>
      <c r="E1530" s="70" t="s">
        <v>286</v>
      </c>
      <c r="F1530" s="74">
        <v>1.5765</v>
      </c>
      <c r="G1530" s="70" t="s">
        <v>286</v>
      </c>
      <c r="H1530" s="74">
        <v>0.16700000000000001</v>
      </c>
    </row>
    <row r="1531" spans="1:8" ht="15.6">
      <c r="A1531" s="468" t="s">
        <v>1959</v>
      </c>
      <c r="B1531" s="67">
        <v>31</v>
      </c>
      <c r="C1531" s="69" t="s">
        <v>51</v>
      </c>
      <c r="D1531" s="71" t="s">
        <v>38</v>
      </c>
      <c r="E1531" s="70" t="s">
        <v>286</v>
      </c>
      <c r="F1531" s="74">
        <v>1.2842</v>
      </c>
      <c r="G1531" s="70" t="s">
        <v>286</v>
      </c>
      <c r="H1531" s="74">
        <v>0.14480000000000001</v>
      </c>
    </row>
    <row r="1532" spans="1:8" ht="15.6">
      <c r="A1532" s="468" t="s">
        <v>1960</v>
      </c>
      <c r="B1532" s="67">
        <v>32</v>
      </c>
      <c r="C1532" s="69" t="s">
        <v>51</v>
      </c>
      <c r="D1532" s="71" t="s">
        <v>26</v>
      </c>
      <c r="E1532" s="70" t="s">
        <v>286</v>
      </c>
      <c r="F1532" s="74">
        <v>1.7572000000000001</v>
      </c>
      <c r="G1532" s="70" t="s">
        <v>286</v>
      </c>
      <c r="H1532" s="74">
        <v>0.18729999999999999</v>
      </c>
    </row>
    <row r="1533" spans="1:8" ht="15.6">
      <c r="A1533" s="468" t="s">
        <v>1961</v>
      </c>
      <c r="B1533" s="67">
        <v>33</v>
      </c>
      <c r="C1533" s="69" t="s">
        <v>51</v>
      </c>
      <c r="D1533" s="71" t="s">
        <v>52</v>
      </c>
      <c r="E1533" s="70" t="s">
        <v>286</v>
      </c>
      <c r="F1533" s="74">
        <v>0.40799999999999997</v>
      </c>
      <c r="G1533" s="70" t="s">
        <v>286</v>
      </c>
      <c r="H1533" s="74">
        <v>3.9100000000000003E-2</v>
      </c>
    </row>
    <row r="1534" spans="1:8" ht="15.6">
      <c r="A1534" s="468" t="s">
        <v>1962</v>
      </c>
      <c r="B1534" s="67">
        <v>34</v>
      </c>
      <c r="C1534" s="69" t="s">
        <v>51</v>
      </c>
      <c r="D1534" s="71" t="s">
        <v>40</v>
      </c>
      <c r="E1534" s="70" t="s">
        <v>286</v>
      </c>
      <c r="F1534" s="74">
        <v>1.2885</v>
      </c>
      <c r="G1534" s="70" t="s">
        <v>286</v>
      </c>
      <c r="H1534" s="74">
        <v>0.14530000000000001</v>
      </c>
    </row>
    <row r="1535" spans="1:8" ht="15.6">
      <c r="A1535" s="468" t="s">
        <v>1963</v>
      </c>
      <c r="B1535" s="67">
        <v>35</v>
      </c>
      <c r="C1535" s="69" t="s">
        <v>51</v>
      </c>
      <c r="D1535" s="71" t="s">
        <v>34</v>
      </c>
      <c r="E1535" s="70" t="s">
        <v>286</v>
      </c>
      <c r="F1535" s="74">
        <v>0.1913</v>
      </c>
      <c r="G1535" s="70" t="s">
        <v>286</v>
      </c>
      <c r="H1535" s="74">
        <v>1.2999999999999999E-2</v>
      </c>
    </row>
    <row r="1536" spans="1:8" ht="15.6">
      <c r="A1536" s="468" t="s">
        <v>1964</v>
      </c>
      <c r="B1536" s="67">
        <v>36</v>
      </c>
      <c r="C1536" s="69" t="s">
        <v>51</v>
      </c>
      <c r="D1536" s="71" t="s">
        <v>54</v>
      </c>
      <c r="E1536" s="70" t="s">
        <v>286</v>
      </c>
      <c r="F1536" s="74">
        <v>1.3977999999999999</v>
      </c>
      <c r="G1536" s="70" t="s">
        <v>286</v>
      </c>
      <c r="H1536" s="74">
        <v>0.1469</v>
      </c>
    </row>
    <row r="1537" spans="1:8" ht="15.6">
      <c r="A1537" s="468" t="s">
        <v>1965</v>
      </c>
      <c r="B1537" s="67">
        <v>37</v>
      </c>
      <c r="C1537" s="69" t="s">
        <v>27</v>
      </c>
      <c r="D1537" s="71" t="s">
        <v>12</v>
      </c>
      <c r="E1537" s="70" t="s">
        <v>286</v>
      </c>
      <c r="F1537" s="74">
        <v>1.3391999999999999</v>
      </c>
      <c r="G1537" s="70" t="s">
        <v>286</v>
      </c>
      <c r="H1537" s="74">
        <v>0.15140000000000001</v>
      </c>
    </row>
    <row r="1538" spans="1:8" ht="15.6">
      <c r="A1538" s="468" t="s">
        <v>1966</v>
      </c>
      <c r="B1538" s="67">
        <v>38</v>
      </c>
      <c r="C1538" s="69" t="s">
        <v>27</v>
      </c>
      <c r="D1538" s="71" t="s">
        <v>51</v>
      </c>
      <c r="E1538" s="70" t="s">
        <v>286</v>
      </c>
      <c r="F1538" s="74">
        <v>1.0985</v>
      </c>
      <c r="G1538" s="70" t="s">
        <v>286</v>
      </c>
      <c r="H1538" s="74">
        <v>0.12239999999999999</v>
      </c>
    </row>
    <row r="1539" spans="1:8" ht="15.6">
      <c r="A1539" s="468" t="s">
        <v>1967</v>
      </c>
      <c r="B1539" s="67">
        <v>39</v>
      </c>
      <c r="C1539" s="69" t="s">
        <v>27</v>
      </c>
      <c r="D1539" s="71" t="s">
        <v>13</v>
      </c>
      <c r="E1539" s="70" t="s">
        <v>286</v>
      </c>
      <c r="F1539" s="74">
        <v>0.99990000000000001</v>
      </c>
      <c r="G1539" s="70" t="s">
        <v>286</v>
      </c>
      <c r="H1539" s="74">
        <v>0.1105</v>
      </c>
    </row>
    <row r="1540" spans="1:8" ht="15.6">
      <c r="A1540" s="468" t="s">
        <v>1968</v>
      </c>
      <c r="B1540" s="67">
        <v>40</v>
      </c>
      <c r="C1540" s="69" t="s">
        <v>27</v>
      </c>
      <c r="D1540" s="71" t="s">
        <v>9</v>
      </c>
      <c r="E1540" s="70" t="s">
        <v>286</v>
      </c>
      <c r="F1540" s="74">
        <v>0.85170000000000001</v>
      </c>
      <c r="G1540" s="70" t="s">
        <v>286</v>
      </c>
      <c r="H1540" s="74">
        <v>9.2600000000000002E-2</v>
      </c>
    </row>
    <row r="1541" spans="1:8" ht="15.6">
      <c r="A1541" s="468" t="s">
        <v>1969</v>
      </c>
      <c r="B1541" s="67">
        <v>41</v>
      </c>
      <c r="C1541" s="69" t="s">
        <v>27</v>
      </c>
      <c r="D1541" s="71" t="s">
        <v>14</v>
      </c>
      <c r="E1541" s="70" t="s">
        <v>286</v>
      </c>
      <c r="F1541" s="74">
        <v>0.78320000000000001</v>
      </c>
      <c r="G1541" s="70" t="s">
        <v>286</v>
      </c>
      <c r="H1541" s="74">
        <v>8.4400000000000003E-2</v>
      </c>
    </row>
    <row r="1542" spans="1:8" ht="15.6">
      <c r="A1542" s="468" t="s">
        <v>1970</v>
      </c>
      <c r="B1542" s="67">
        <v>42</v>
      </c>
      <c r="C1542" s="69" t="s">
        <v>27</v>
      </c>
      <c r="D1542" s="71" t="s">
        <v>33</v>
      </c>
      <c r="E1542" s="70" t="s">
        <v>286</v>
      </c>
      <c r="F1542" s="74">
        <v>0.5262</v>
      </c>
      <c r="G1542" s="70" t="s">
        <v>286</v>
      </c>
      <c r="H1542" s="74">
        <v>5.3400000000000003E-2</v>
      </c>
    </row>
    <row r="1543" spans="1:8" ht="15.6">
      <c r="A1543" s="468" t="s">
        <v>1971</v>
      </c>
      <c r="B1543" s="67">
        <v>43</v>
      </c>
      <c r="C1543" s="69" t="s">
        <v>27</v>
      </c>
      <c r="D1543" s="71" t="s">
        <v>25</v>
      </c>
      <c r="E1543" s="70" t="s">
        <v>286</v>
      </c>
      <c r="F1543" s="74">
        <v>0.42070000000000002</v>
      </c>
      <c r="G1543" s="70" t="s">
        <v>286</v>
      </c>
      <c r="H1543" s="74">
        <v>4.0599999999999997E-2</v>
      </c>
    </row>
    <row r="1544" spans="1:8" ht="15.6">
      <c r="A1544" s="468" t="s">
        <v>1972</v>
      </c>
      <c r="B1544" s="67">
        <v>44</v>
      </c>
      <c r="C1544" s="69" t="s">
        <v>27</v>
      </c>
      <c r="D1544" s="71" t="s">
        <v>31</v>
      </c>
      <c r="E1544" s="70" t="s">
        <v>286</v>
      </c>
      <c r="F1544" s="74">
        <v>0.19889999999999999</v>
      </c>
      <c r="G1544" s="70" t="s">
        <v>286</v>
      </c>
      <c r="H1544" s="74">
        <v>1.3899999999999999E-2</v>
      </c>
    </row>
    <row r="1545" spans="1:8" ht="15.6">
      <c r="A1545" s="468" t="s">
        <v>1973</v>
      </c>
      <c r="B1545" s="67">
        <v>45</v>
      </c>
      <c r="C1545" s="69" t="s">
        <v>27</v>
      </c>
      <c r="D1545" s="71" t="s">
        <v>45</v>
      </c>
      <c r="E1545" s="70" t="s">
        <v>286</v>
      </c>
      <c r="F1545" s="74">
        <v>0.23719999999999999</v>
      </c>
      <c r="G1545" s="70" t="s">
        <v>286</v>
      </c>
      <c r="H1545" s="74">
        <v>1.8499999999999999E-2</v>
      </c>
    </row>
    <row r="1546" spans="1:8" ht="15.6">
      <c r="A1546" s="468" t="s">
        <v>1974</v>
      </c>
      <c r="B1546" s="67">
        <v>46</v>
      </c>
      <c r="C1546" s="69" t="s">
        <v>27</v>
      </c>
      <c r="D1546" s="71" t="s">
        <v>27</v>
      </c>
      <c r="E1546" s="70" t="s">
        <v>286</v>
      </c>
      <c r="F1546" s="74">
        <v>9.2700000000000005E-2</v>
      </c>
      <c r="G1546" s="70" t="s">
        <v>286</v>
      </c>
      <c r="H1546" s="74">
        <v>1.1000000000000001E-3</v>
      </c>
    </row>
    <row r="1547" spans="1:8" ht="15.6">
      <c r="A1547" s="468" t="s">
        <v>1975</v>
      </c>
      <c r="B1547" s="67">
        <v>47</v>
      </c>
      <c r="C1547" s="69" t="s">
        <v>27</v>
      </c>
      <c r="D1547" s="71" t="s">
        <v>21</v>
      </c>
      <c r="E1547" s="70" t="s">
        <v>286</v>
      </c>
      <c r="F1547" s="74">
        <v>0.21160000000000001</v>
      </c>
      <c r="G1547" s="70" t="s">
        <v>286</v>
      </c>
      <c r="H1547" s="74">
        <v>1.54E-2</v>
      </c>
    </row>
    <row r="1548" spans="1:8" ht="15.6">
      <c r="A1548" s="468" t="s">
        <v>1976</v>
      </c>
      <c r="B1548" s="67">
        <v>48</v>
      </c>
      <c r="C1548" s="69" t="s">
        <v>27</v>
      </c>
      <c r="D1548" s="71" t="s">
        <v>32</v>
      </c>
      <c r="E1548" s="70" t="s">
        <v>286</v>
      </c>
      <c r="F1548" s="74">
        <v>0.94120000000000004</v>
      </c>
      <c r="G1548" s="70" t="s">
        <v>286</v>
      </c>
      <c r="H1548" s="74">
        <v>0.10340000000000001</v>
      </c>
    </row>
    <row r="1549" spans="1:8" ht="15.6">
      <c r="A1549" s="468" t="s">
        <v>1977</v>
      </c>
      <c r="B1549" s="67">
        <v>49</v>
      </c>
      <c r="C1549" s="69" t="s">
        <v>27</v>
      </c>
      <c r="D1549" s="71" t="s">
        <v>30</v>
      </c>
      <c r="E1549" s="70" t="s">
        <v>286</v>
      </c>
      <c r="F1549" s="74">
        <v>0.40339999999999998</v>
      </c>
      <c r="G1549" s="70" t="s">
        <v>286</v>
      </c>
      <c r="H1549" s="74">
        <v>3.5200000000000002E-2</v>
      </c>
    </row>
    <row r="1550" spans="1:8" ht="15.6">
      <c r="A1550" s="468" t="s">
        <v>1978</v>
      </c>
      <c r="B1550" s="67">
        <v>50</v>
      </c>
      <c r="C1550" s="69" t="s">
        <v>27</v>
      </c>
      <c r="D1550" s="71" t="s">
        <v>28</v>
      </c>
      <c r="E1550" s="70" t="s">
        <v>286</v>
      </c>
      <c r="F1550" s="74">
        <v>0.5494</v>
      </c>
      <c r="G1550" s="70" t="s">
        <v>286</v>
      </c>
      <c r="H1550" s="74">
        <v>5.16E-2</v>
      </c>
    </row>
    <row r="1551" spans="1:8" ht="15.6">
      <c r="A1551" s="468" t="s">
        <v>1979</v>
      </c>
      <c r="B1551" s="67">
        <v>51</v>
      </c>
      <c r="C1551" s="69" t="s">
        <v>27</v>
      </c>
      <c r="D1551" s="71" t="s">
        <v>79</v>
      </c>
      <c r="E1551" s="70" t="s">
        <v>286</v>
      </c>
      <c r="F1551" s="74">
        <v>0.51990000000000003</v>
      </c>
      <c r="G1551" s="70" t="s">
        <v>286</v>
      </c>
      <c r="H1551" s="74">
        <v>4.8300000000000003E-2</v>
      </c>
    </row>
    <row r="1552" spans="1:8" ht="15.6">
      <c r="A1552" s="468" t="s">
        <v>1980</v>
      </c>
      <c r="B1552" s="67">
        <v>52</v>
      </c>
      <c r="C1552" s="69" t="s">
        <v>27</v>
      </c>
      <c r="D1552" s="71" t="s">
        <v>29</v>
      </c>
      <c r="E1552" s="70" t="s">
        <v>286</v>
      </c>
      <c r="F1552" s="74">
        <v>0.58620000000000005</v>
      </c>
      <c r="G1552" s="70" t="s">
        <v>286</v>
      </c>
      <c r="H1552" s="74">
        <v>5.57E-2</v>
      </c>
    </row>
    <row r="1553" spans="1:8" ht="15.6">
      <c r="A1553" s="468" t="s">
        <v>1981</v>
      </c>
      <c r="B1553" s="67">
        <v>53</v>
      </c>
      <c r="C1553" s="69" t="s">
        <v>27</v>
      </c>
      <c r="D1553" s="71" t="s">
        <v>43</v>
      </c>
      <c r="E1553" s="70" t="s">
        <v>286</v>
      </c>
      <c r="F1553" s="74">
        <v>0.51300000000000001</v>
      </c>
      <c r="G1553" s="70" t="s">
        <v>286</v>
      </c>
      <c r="H1553" s="74">
        <v>4.7500000000000001E-2</v>
      </c>
    </row>
    <row r="1554" spans="1:8" ht="15.6">
      <c r="A1554" s="468" t="s">
        <v>1982</v>
      </c>
      <c r="B1554" s="67">
        <v>54</v>
      </c>
      <c r="C1554" s="69" t="s">
        <v>27</v>
      </c>
      <c r="D1554" s="71" t="s">
        <v>18</v>
      </c>
      <c r="E1554" s="70" t="s">
        <v>286</v>
      </c>
      <c r="F1554" s="74">
        <v>0.50890000000000002</v>
      </c>
      <c r="G1554" s="70" t="s">
        <v>286</v>
      </c>
      <c r="H1554" s="74">
        <v>4.7100000000000003E-2</v>
      </c>
    </row>
    <row r="1555" spans="1:8" ht="15.6">
      <c r="A1555" s="468" t="s">
        <v>1983</v>
      </c>
      <c r="B1555" s="67">
        <v>55</v>
      </c>
      <c r="C1555" s="69" t="s">
        <v>27</v>
      </c>
      <c r="D1555" s="71" t="s">
        <v>76</v>
      </c>
      <c r="E1555" s="70" t="s">
        <v>286</v>
      </c>
      <c r="F1555" s="74">
        <v>0.51300000000000001</v>
      </c>
      <c r="G1555" s="70" t="s">
        <v>286</v>
      </c>
      <c r="H1555" s="74">
        <v>4.7500000000000001E-2</v>
      </c>
    </row>
    <row r="1556" spans="1:8" ht="15.6">
      <c r="A1556" s="468" t="s">
        <v>1984</v>
      </c>
      <c r="B1556" s="67">
        <v>56</v>
      </c>
      <c r="C1556" s="69" t="s">
        <v>27</v>
      </c>
      <c r="D1556" s="71" t="s">
        <v>19</v>
      </c>
      <c r="E1556" s="70" t="s">
        <v>286</v>
      </c>
      <c r="F1556" s="74">
        <v>0.54369999999999996</v>
      </c>
      <c r="G1556" s="70" t="s">
        <v>286</v>
      </c>
      <c r="H1556" s="74">
        <v>5.0999999999999997E-2</v>
      </c>
    </row>
    <row r="1557" spans="1:8" ht="15.6">
      <c r="A1557" s="468" t="s">
        <v>1985</v>
      </c>
      <c r="B1557" s="67">
        <v>57</v>
      </c>
      <c r="C1557" s="69" t="s">
        <v>27</v>
      </c>
      <c r="D1557" s="71" t="s">
        <v>23</v>
      </c>
      <c r="E1557" s="70" t="s">
        <v>286</v>
      </c>
      <c r="F1557" s="74">
        <v>0.62329999999999997</v>
      </c>
      <c r="G1557" s="70" t="s">
        <v>286</v>
      </c>
      <c r="H1557" s="74">
        <v>5.9900000000000002E-2</v>
      </c>
    </row>
    <row r="1558" spans="1:8" ht="15.6">
      <c r="A1558" s="468" t="s">
        <v>1986</v>
      </c>
      <c r="B1558" s="67">
        <v>58</v>
      </c>
      <c r="C1558" s="69" t="s">
        <v>27</v>
      </c>
      <c r="D1558" s="71" t="s">
        <v>20</v>
      </c>
      <c r="E1558" s="70" t="s">
        <v>286</v>
      </c>
      <c r="F1558" s="74">
        <v>0.67600000000000005</v>
      </c>
      <c r="G1558" s="70" t="s">
        <v>286</v>
      </c>
      <c r="H1558" s="74">
        <v>6.5799999999999997E-2</v>
      </c>
    </row>
    <row r="1559" spans="1:8" ht="15.6">
      <c r="A1559" s="468" t="s">
        <v>1987</v>
      </c>
      <c r="B1559" s="67">
        <v>59</v>
      </c>
      <c r="C1559" s="69" t="s">
        <v>27</v>
      </c>
      <c r="D1559" s="71" t="s">
        <v>53</v>
      </c>
      <c r="E1559" s="70" t="s">
        <v>286</v>
      </c>
      <c r="F1559" s="74">
        <v>0.6482</v>
      </c>
      <c r="G1559" s="70" t="s">
        <v>286</v>
      </c>
      <c r="H1559" s="74">
        <v>6.2700000000000006E-2</v>
      </c>
    </row>
    <row r="1560" spans="1:8" ht="15.6">
      <c r="A1560" s="468" t="s">
        <v>1988</v>
      </c>
      <c r="B1560" s="67">
        <v>60</v>
      </c>
      <c r="C1560" s="69" t="s">
        <v>27</v>
      </c>
      <c r="D1560" s="71" t="s">
        <v>41</v>
      </c>
      <c r="E1560" s="70" t="s">
        <v>286</v>
      </c>
      <c r="F1560" s="74">
        <v>0.65029999999999999</v>
      </c>
      <c r="G1560" s="70" t="s">
        <v>286</v>
      </c>
      <c r="H1560" s="74">
        <v>6.3E-2</v>
      </c>
    </row>
    <row r="1561" spans="1:8" ht="15.6">
      <c r="A1561" s="468" t="s">
        <v>1989</v>
      </c>
      <c r="B1561" s="67">
        <v>61</v>
      </c>
      <c r="C1561" s="69" t="s">
        <v>27</v>
      </c>
      <c r="D1561" s="71" t="s">
        <v>36</v>
      </c>
      <c r="E1561" s="70" t="s">
        <v>286</v>
      </c>
      <c r="F1561" s="74">
        <v>0.59350000000000003</v>
      </c>
      <c r="G1561" s="70" t="s">
        <v>286</v>
      </c>
      <c r="H1561" s="74">
        <v>5.6599999999999998E-2</v>
      </c>
    </row>
    <row r="1562" spans="1:8" ht="15.6">
      <c r="A1562" s="468" t="s">
        <v>1990</v>
      </c>
      <c r="B1562" s="67">
        <v>62</v>
      </c>
      <c r="C1562" s="69" t="s">
        <v>27</v>
      </c>
      <c r="D1562" s="71" t="s">
        <v>15</v>
      </c>
      <c r="E1562" s="70" t="s">
        <v>286</v>
      </c>
      <c r="F1562" s="74">
        <v>0.57540000000000002</v>
      </c>
      <c r="G1562" s="70" t="s">
        <v>286</v>
      </c>
      <c r="H1562" s="74">
        <v>5.45E-2</v>
      </c>
    </row>
    <row r="1563" spans="1:8" ht="15.6">
      <c r="A1563" s="468" t="s">
        <v>1991</v>
      </c>
      <c r="B1563" s="67">
        <v>63</v>
      </c>
      <c r="C1563" s="69" t="s">
        <v>27</v>
      </c>
      <c r="D1563" s="71" t="s">
        <v>16</v>
      </c>
      <c r="E1563" s="70" t="s">
        <v>286</v>
      </c>
      <c r="F1563" s="74">
        <v>0.78749999999999998</v>
      </c>
      <c r="G1563" s="70" t="s">
        <v>286</v>
      </c>
      <c r="H1563" s="74">
        <v>7.8399999999999997E-2</v>
      </c>
    </row>
    <row r="1564" spans="1:8" ht="15.6">
      <c r="A1564" s="468" t="s">
        <v>1992</v>
      </c>
      <c r="B1564" s="67">
        <v>64</v>
      </c>
      <c r="C1564" s="69" t="s">
        <v>27</v>
      </c>
      <c r="D1564" s="71" t="s">
        <v>17</v>
      </c>
      <c r="E1564" s="70" t="s">
        <v>286</v>
      </c>
      <c r="F1564" s="74">
        <v>0.86199999999999999</v>
      </c>
      <c r="G1564" s="70" t="s">
        <v>286</v>
      </c>
      <c r="H1564" s="74">
        <v>9.3899999999999997E-2</v>
      </c>
    </row>
    <row r="1565" spans="1:8" ht="15.6">
      <c r="A1565" s="468" t="s">
        <v>1993</v>
      </c>
      <c r="B1565" s="67">
        <v>65</v>
      </c>
      <c r="C1565" s="69" t="s">
        <v>27</v>
      </c>
      <c r="D1565" s="71" t="s">
        <v>10</v>
      </c>
      <c r="E1565" s="70" t="s">
        <v>286</v>
      </c>
      <c r="F1565" s="74">
        <v>0.86199999999999999</v>
      </c>
      <c r="G1565" s="70" t="s">
        <v>286</v>
      </c>
      <c r="H1565" s="74">
        <v>9.3899999999999997E-2</v>
      </c>
    </row>
    <row r="1566" spans="1:8" ht="15.6">
      <c r="A1566" s="468" t="s">
        <v>1994</v>
      </c>
      <c r="B1566" s="67">
        <v>66</v>
      </c>
      <c r="C1566" s="69" t="s">
        <v>27</v>
      </c>
      <c r="D1566" s="71" t="s">
        <v>22</v>
      </c>
      <c r="E1566" s="70" t="s">
        <v>286</v>
      </c>
      <c r="F1566" s="74">
        <v>0.55559999999999998</v>
      </c>
      <c r="G1566" s="70" t="s">
        <v>286</v>
      </c>
      <c r="H1566" s="74">
        <v>5.2299999999999999E-2</v>
      </c>
    </row>
    <row r="1567" spans="1:8" ht="15.6">
      <c r="A1567" s="468" t="s">
        <v>1995</v>
      </c>
      <c r="B1567" s="67">
        <v>67</v>
      </c>
      <c r="C1567" s="69" t="s">
        <v>27</v>
      </c>
      <c r="D1567" s="71" t="s">
        <v>35</v>
      </c>
      <c r="E1567" s="70" t="s">
        <v>286</v>
      </c>
      <c r="F1567" s="74">
        <v>0.53580000000000005</v>
      </c>
      <c r="G1567" s="70" t="s">
        <v>286</v>
      </c>
      <c r="H1567" s="74">
        <v>5.0099999999999999E-2</v>
      </c>
    </row>
    <row r="1568" spans="1:8" ht="15.6">
      <c r="A1568" s="468" t="s">
        <v>1996</v>
      </c>
      <c r="B1568" s="67">
        <v>68</v>
      </c>
      <c r="C1568" s="69" t="s">
        <v>27</v>
      </c>
      <c r="D1568" s="71" t="s">
        <v>24</v>
      </c>
      <c r="E1568" s="70" t="s">
        <v>286</v>
      </c>
      <c r="F1568" s="74">
        <v>0.66690000000000005</v>
      </c>
      <c r="G1568" s="70" t="s">
        <v>286</v>
      </c>
      <c r="H1568" s="74">
        <v>6.4799999999999996E-2</v>
      </c>
    </row>
    <row r="1569" spans="1:8" ht="15.6">
      <c r="A1569" s="468" t="s">
        <v>1997</v>
      </c>
      <c r="B1569" s="67">
        <v>69</v>
      </c>
      <c r="C1569" s="69" t="s">
        <v>27</v>
      </c>
      <c r="D1569" s="71" t="s">
        <v>37</v>
      </c>
      <c r="E1569" s="70" t="s">
        <v>286</v>
      </c>
      <c r="F1569" s="74">
        <v>0.59209999999999996</v>
      </c>
      <c r="G1569" s="70" t="s">
        <v>286</v>
      </c>
      <c r="H1569" s="74">
        <v>5.6399999999999999E-2</v>
      </c>
    </row>
    <row r="1570" spans="1:8" ht="15.6">
      <c r="A1570" s="468" t="s">
        <v>1998</v>
      </c>
      <c r="B1570" s="67">
        <v>70</v>
      </c>
      <c r="C1570" s="69" t="s">
        <v>27</v>
      </c>
      <c r="D1570" s="71" t="s">
        <v>38</v>
      </c>
      <c r="E1570" s="70" t="s">
        <v>286</v>
      </c>
      <c r="F1570" s="74">
        <v>0.27839999999999998</v>
      </c>
      <c r="G1570" s="70" t="s">
        <v>286</v>
      </c>
      <c r="H1570" s="74">
        <v>2.35E-2</v>
      </c>
    </row>
    <row r="1571" spans="1:8" ht="15.6">
      <c r="A1571" s="468" t="s">
        <v>1999</v>
      </c>
      <c r="B1571" s="67">
        <v>71</v>
      </c>
      <c r="C1571" s="69" t="s">
        <v>27</v>
      </c>
      <c r="D1571" s="71" t="s">
        <v>26</v>
      </c>
      <c r="E1571" s="70" t="s">
        <v>286</v>
      </c>
      <c r="F1571" s="74">
        <v>0.67730000000000001</v>
      </c>
      <c r="G1571" s="70" t="s">
        <v>286</v>
      </c>
      <c r="H1571" s="74">
        <v>6.6000000000000003E-2</v>
      </c>
    </row>
    <row r="1572" spans="1:8" ht="15.6">
      <c r="A1572" s="468" t="s">
        <v>2000</v>
      </c>
      <c r="B1572" s="67">
        <v>72</v>
      </c>
      <c r="C1572" s="69" t="s">
        <v>27</v>
      </c>
      <c r="D1572" s="71" t="s">
        <v>52</v>
      </c>
      <c r="E1572" s="70" t="s">
        <v>286</v>
      </c>
      <c r="F1572" s="74">
        <v>0.78320000000000001</v>
      </c>
      <c r="G1572" s="70" t="s">
        <v>286</v>
      </c>
      <c r="H1572" s="74">
        <v>8.4400000000000003E-2</v>
      </c>
    </row>
    <row r="1573" spans="1:8" ht="15.6">
      <c r="A1573" s="468" t="s">
        <v>2001</v>
      </c>
      <c r="B1573" s="67">
        <v>73</v>
      </c>
      <c r="C1573" s="69" t="s">
        <v>27</v>
      </c>
      <c r="D1573" s="71" t="s">
        <v>40</v>
      </c>
      <c r="E1573" s="70" t="s">
        <v>286</v>
      </c>
      <c r="F1573" s="74">
        <v>0.6169</v>
      </c>
      <c r="G1573" s="70" t="s">
        <v>286</v>
      </c>
      <c r="H1573" s="74">
        <v>6.4299999999999996E-2</v>
      </c>
    </row>
    <row r="1574" spans="1:8" ht="15.6">
      <c r="A1574" s="468" t="s">
        <v>2002</v>
      </c>
      <c r="B1574" s="67">
        <v>74</v>
      </c>
      <c r="C1574" s="69" t="s">
        <v>27</v>
      </c>
      <c r="D1574" s="71" t="s">
        <v>34</v>
      </c>
      <c r="E1574" s="70" t="s">
        <v>286</v>
      </c>
      <c r="F1574" s="74">
        <v>0.99990000000000001</v>
      </c>
      <c r="G1574" s="70" t="s">
        <v>286</v>
      </c>
      <c r="H1574" s="74">
        <v>0.1105</v>
      </c>
    </row>
    <row r="1575" spans="1:8" ht="15.6">
      <c r="A1575" s="468" t="s">
        <v>2003</v>
      </c>
      <c r="B1575" s="67">
        <v>75</v>
      </c>
      <c r="C1575" s="69" t="s">
        <v>27</v>
      </c>
      <c r="D1575" s="71" t="s">
        <v>54</v>
      </c>
      <c r="E1575" s="70" t="s">
        <v>286</v>
      </c>
      <c r="F1575" s="74">
        <v>0.6482</v>
      </c>
      <c r="G1575" s="70" t="s">
        <v>286</v>
      </c>
      <c r="H1575" s="74">
        <v>6.2700000000000006E-2</v>
      </c>
    </row>
    <row r="1576" spans="1:8" ht="15.6">
      <c r="A1576" s="468" t="s">
        <v>2004</v>
      </c>
      <c r="B1576" s="67">
        <v>76</v>
      </c>
      <c r="C1576" s="69" t="s">
        <v>28</v>
      </c>
      <c r="D1576" s="71" t="s">
        <v>12</v>
      </c>
      <c r="E1576" s="70" t="s">
        <v>286</v>
      </c>
      <c r="F1576" s="74">
        <v>2.3862999999999999</v>
      </c>
      <c r="G1576" s="70" t="s">
        <v>286</v>
      </c>
      <c r="H1576" s="74">
        <v>0.1908</v>
      </c>
    </row>
    <row r="1577" spans="1:8" ht="15.6">
      <c r="A1577" s="468" t="s">
        <v>2005</v>
      </c>
      <c r="B1577" s="67">
        <v>77</v>
      </c>
      <c r="C1577" s="69" t="s">
        <v>28</v>
      </c>
      <c r="D1577" s="71" t="s">
        <v>51</v>
      </c>
      <c r="E1577" s="70" t="s">
        <v>286</v>
      </c>
      <c r="F1577" s="74">
        <v>2.0415000000000001</v>
      </c>
      <c r="G1577" s="70" t="s">
        <v>286</v>
      </c>
      <c r="H1577" s="74">
        <v>0.1618</v>
      </c>
    </row>
    <row r="1578" spans="1:8" ht="15.6">
      <c r="A1578" s="468" t="s">
        <v>2006</v>
      </c>
      <c r="B1578" s="67">
        <v>1</v>
      </c>
      <c r="C1578" s="69" t="s">
        <v>28</v>
      </c>
      <c r="D1578" s="71" t="s">
        <v>13</v>
      </c>
      <c r="E1578" s="70" t="s">
        <v>286</v>
      </c>
      <c r="F1578" s="74">
        <v>1.9001999999999999</v>
      </c>
      <c r="G1578" s="70" t="s">
        <v>286</v>
      </c>
      <c r="H1578" s="74">
        <v>0.14990000000000001</v>
      </c>
    </row>
    <row r="1579" spans="1:8" ht="15.6">
      <c r="A1579" s="468" t="s">
        <v>2007</v>
      </c>
      <c r="B1579" s="67">
        <v>2</v>
      </c>
      <c r="C1579" s="69" t="s">
        <v>28</v>
      </c>
      <c r="D1579" s="71" t="s">
        <v>9</v>
      </c>
      <c r="E1579" s="70" t="s">
        <v>286</v>
      </c>
      <c r="F1579" s="74">
        <v>1.6865000000000001</v>
      </c>
      <c r="G1579" s="70" t="s">
        <v>286</v>
      </c>
      <c r="H1579" s="74">
        <v>0.13189999999999999</v>
      </c>
    </row>
    <row r="1580" spans="1:8" ht="15.6">
      <c r="A1580" s="468" t="s">
        <v>2008</v>
      </c>
      <c r="B1580" s="67">
        <v>3</v>
      </c>
      <c r="C1580" s="69" t="s">
        <v>28</v>
      </c>
      <c r="D1580" s="71" t="s">
        <v>14</v>
      </c>
      <c r="E1580" s="70" t="s">
        <v>286</v>
      </c>
      <c r="F1580" s="74">
        <v>1.6857</v>
      </c>
      <c r="G1580" s="70" t="s">
        <v>286</v>
      </c>
      <c r="H1580" s="74">
        <v>0.1318</v>
      </c>
    </row>
    <row r="1581" spans="1:8" ht="15.6">
      <c r="A1581" s="468" t="s">
        <v>2009</v>
      </c>
      <c r="B1581" s="67">
        <v>4</v>
      </c>
      <c r="C1581" s="69" t="s">
        <v>28</v>
      </c>
      <c r="D1581" s="71" t="s">
        <v>33</v>
      </c>
      <c r="E1581" s="70" t="s">
        <v>286</v>
      </c>
      <c r="F1581" s="74">
        <v>1.3543000000000001</v>
      </c>
      <c r="G1581" s="70" t="s">
        <v>286</v>
      </c>
      <c r="H1581" s="74">
        <v>0.10390000000000001</v>
      </c>
    </row>
    <row r="1582" spans="1:8" ht="15.6">
      <c r="A1582" s="468" t="s">
        <v>2010</v>
      </c>
      <c r="B1582" s="67">
        <v>5</v>
      </c>
      <c r="C1582" s="69" t="s">
        <v>28</v>
      </c>
      <c r="D1582" s="71" t="s">
        <v>25</v>
      </c>
      <c r="E1582" s="70" t="s">
        <v>286</v>
      </c>
      <c r="F1582" s="74">
        <v>1.2031000000000001</v>
      </c>
      <c r="G1582" s="70" t="s">
        <v>286</v>
      </c>
      <c r="H1582" s="74">
        <v>9.1200000000000003E-2</v>
      </c>
    </row>
    <row r="1583" spans="1:8" ht="15.6">
      <c r="A1583" s="468" t="s">
        <v>2011</v>
      </c>
      <c r="B1583" s="67">
        <v>6</v>
      </c>
      <c r="C1583" s="69" t="s">
        <v>28</v>
      </c>
      <c r="D1583" s="71" t="s">
        <v>31</v>
      </c>
      <c r="E1583" s="70" t="s">
        <v>286</v>
      </c>
      <c r="F1583" s="74">
        <v>0.60509999999999997</v>
      </c>
      <c r="G1583" s="70" t="s">
        <v>286</v>
      </c>
      <c r="H1583" s="74">
        <v>4.0800000000000003E-2</v>
      </c>
    </row>
    <row r="1584" spans="1:8" ht="15.6">
      <c r="A1584" s="468" t="s">
        <v>2012</v>
      </c>
      <c r="B1584" s="67">
        <v>7</v>
      </c>
      <c r="C1584" s="69" t="s">
        <v>28</v>
      </c>
      <c r="D1584" s="71" t="s">
        <v>45</v>
      </c>
      <c r="E1584" s="70" t="s">
        <v>286</v>
      </c>
      <c r="F1584" s="74">
        <v>0.94020000000000004</v>
      </c>
      <c r="G1584" s="70" t="s">
        <v>286</v>
      </c>
      <c r="H1584" s="74">
        <v>6.9000000000000006E-2</v>
      </c>
    </row>
    <row r="1585" spans="1:8" ht="15.6">
      <c r="A1585" s="468" t="s">
        <v>2013</v>
      </c>
      <c r="B1585" s="67">
        <v>8</v>
      </c>
      <c r="C1585" s="69" t="s">
        <v>28</v>
      </c>
      <c r="D1585" s="71" t="s">
        <v>27</v>
      </c>
      <c r="E1585" s="70" t="s">
        <v>286</v>
      </c>
      <c r="F1585" s="74">
        <v>0.73319999999999996</v>
      </c>
      <c r="G1585" s="70" t="s">
        <v>286</v>
      </c>
      <c r="H1585" s="74">
        <v>5.16E-2</v>
      </c>
    </row>
    <row r="1586" spans="1:8" ht="15.6">
      <c r="A1586" s="468" t="s">
        <v>2014</v>
      </c>
      <c r="B1586" s="67">
        <v>9</v>
      </c>
      <c r="C1586" s="69" t="s">
        <v>28</v>
      </c>
      <c r="D1586" s="71" t="s">
        <v>21</v>
      </c>
      <c r="E1586" s="70" t="s">
        <v>286</v>
      </c>
      <c r="F1586" s="74">
        <v>0.57940000000000003</v>
      </c>
      <c r="G1586" s="70" t="s">
        <v>286</v>
      </c>
      <c r="H1586" s="74">
        <v>3.8699999999999998E-2</v>
      </c>
    </row>
    <row r="1587" spans="1:8" ht="15.6">
      <c r="A1587" s="468" t="s">
        <v>2015</v>
      </c>
      <c r="B1587" s="67">
        <v>10</v>
      </c>
      <c r="C1587" s="69" t="s">
        <v>28</v>
      </c>
      <c r="D1587" s="71" t="s">
        <v>32</v>
      </c>
      <c r="E1587" s="70" t="s">
        <v>286</v>
      </c>
      <c r="F1587" s="74">
        <v>0.79269999999999996</v>
      </c>
      <c r="G1587" s="70" t="s">
        <v>286</v>
      </c>
      <c r="H1587" s="74">
        <v>5.6599999999999998E-2</v>
      </c>
    </row>
    <row r="1588" spans="1:8" ht="15.6">
      <c r="A1588" s="468" t="s">
        <v>2016</v>
      </c>
      <c r="B1588" s="67">
        <v>11</v>
      </c>
      <c r="C1588" s="69" t="s">
        <v>28</v>
      </c>
      <c r="D1588" s="71" t="s">
        <v>30</v>
      </c>
      <c r="E1588" s="70" t="s">
        <v>286</v>
      </c>
      <c r="F1588" s="74">
        <v>0.32769999999999999</v>
      </c>
      <c r="G1588" s="70" t="s">
        <v>286</v>
      </c>
      <c r="H1588" s="74">
        <v>1.7500000000000002E-2</v>
      </c>
    </row>
    <row r="1589" spans="1:8" ht="15.6">
      <c r="A1589" s="468" t="s">
        <v>2017</v>
      </c>
      <c r="B1589" s="67">
        <v>12</v>
      </c>
      <c r="C1589" s="69" t="s">
        <v>28</v>
      </c>
      <c r="D1589" s="71" t="s">
        <v>28</v>
      </c>
      <c r="E1589" s="70" t="s">
        <v>286</v>
      </c>
      <c r="F1589" s="74">
        <v>0.13289999999999999</v>
      </c>
      <c r="G1589" s="70" t="s">
        <v>286</v>
      </c>
      <c r="H1589" s="74">
        <v>1.1000000000000001E-3</v>
      </c>
    </row>
    <row r="1590" spans="1:8" ht="15.6">
      <c r="A1590" s="468" t="s">
        <v>2018</v>
      </c>
      <c r="B1590" s="67">
        <v>13</v>
      </c>
      <c r="C1590" s="69" t="s">
        <v>28</v>
      </c>
      <c r="D1590" s="71" t="s">
        <v>79</v>
      </c>
      <c r="E1590" s="70" t="s">
        <v>286</v>
      </c>
      <c r="F1590" s="74">
        <v>0.17530000000000001</v>
      </c>
      <c r="G1590" s="70" t="s">
        <v>286</v>
      </c>
      <c r="H1590" s="74">
        <v>4.5999999999999999E-3</v>
      </c>
    </row>
    <row r="1591" spans="1:8" ht="15.6">
      <c r="A1591" s="468" t="s">
        <v>2019</v>
      </c>
      <c r="B1591" s="67">
        <v>14</v>
      </c>
      <c r="C1591" s="69" t="s">
        <v>28</v>
      </c>
      <c r="D1591" s="71" t="s">
        <v>29</v>
      </c>
      <c r="E1591" s="70" t="s">
        <v>286</v>
      </c>
      <c r="F1591" s="74">
        <v>0.43780000000000002</v>
      </c>
      <c r="G1591" s="70" t="s">
        <v>286</v>
      </c>
      <c r="H1591" s="74">
        <v>2.6700000000000002E-2</v>
      </c>
    </row>
    <row r="1592" spans="1:8" ht="15.6">
      <c r="A1592" s="468" t="s">
        <v>2020</v>
      </c>
      <c r="B1592" s="67">
        <v>15</v>
      </c>
      <c r="C1592" s="69" t="s">
        <v>28</v>
      </c>
      <c r="D1592" s="71" t="s">
        <v>43</v>
      </c>
      <c r="E1592" s="70" t="s">
        <v>286</v>
      </c>
      <c r="F1592" s="74">
        <v>0.18140000000000001</v>
      </c>
      <c r="G1592" s="70" t="s">
        <v>286</v>
      </c>
      <c r="H1592" s="74">
        <v>5.1999999999999998E-3</v>
      </c>
    </row>
    <row r="1593" spans="1:8" ht="15.6">
      <c r="A1593" s="468" t="s">
        <v>2021</v>
      </c>
      <c r="B1593" s="67">
        <v>16</v>
      </c>
      <c r="C1593" s="69" t="s">
        <v>28</v>
      </c>
      <c r="D1593" s="71" t="s">
        <v>18</v>
      </c>
      <c r="E1593" s="70" t="s">
        <v>286</v>
      </c>
      <c r="F1593" s="74">
        <v>0.23130000000000001</v>
      </c>
      <c r="G1593" s="70" t="s">
        <v>286</v>
      </c>
      <c r="H1593" s="74">
        <v>9.4000000000000004E-3</v>
      </c>
    </row>
    <row r="1594" spans="1:8" ht="15.6">
      <c r="A1594" s="468" t="s">
        <v>2022</v>
      </c>
      <c r="B1594" s="67">
        <v>17</v>
      </c>
      <c r="C1594" s="69" t="s">
        <v>28</v>
      </c>
      <c r="D1594" s="71" t="s">
        <v>76</v>
      </c>
      <c r="E1594" s="70" t="s">
        <v>286</v>
      </c>
      <c r="F1594" s="74">
        <v>0.18140000000000001</v>
      </c>
      <c r="G1594" s="70" t="s">
        <v>286</v>
      </c>
      <c r="H1594" s="74">
        <v>5.1999999999999998E-3</v>
      </c>
    </row>
    <row r="1595" spans="1:8" ht="15.6">
      <c r="A1595" s="468" t="s">
        <v>2023</v>
      </c>
      <c r="B1595" s="67">
        <v>18</v>
      </c>
      <c r="C1595" s="69" t="s">
        <v>28</v>
      </c>
      <c r="D1595" s="71" t="s">
        <v>19</v>
      </c>
      <c r="E1595" s="70" t="s">
        <v>286</v>
      </c>
      <c r="F1595" s="74">
        <v>0.54710000000000003</v>
      </c>
      <c r="G1595" s="70" t="s">
        <v>286</v>
      </c>
      <c r="H1595" s="74">
        <v>3.5900000000000001E-2</v>
      </c>
    </row>
    <row r="1596" spans="1:8" ht="15.6">
      <c r="A1596" s="468" t="s">
        <v>2024</v>
      </c>
      <c r="B1596" s="67">
        <v>19</v>
      </c>
      <c r="C1596" s="69" t="s">
        <v>28</v>
      </c>
      <c r="D1596" s="71" t="s">
        <v>23</v>
      </c>
      <c r="E1596" s="70" t="s">
        <v>286</v>
      </c>
      <c r="F1596" s="74">
        <v>0.42299999999999999</v>
      </c>
      <c r="G1596" s="70" t="s">
        <v>286</v>
      </c>
      <c r="H1596" s="74">
        <v>2.5499999999999998E-2</v>
      </c>
    </row>
    <row r="1597" spans="1:8" ht="15.6">
      <c r="A1597" s="468" t="s">
        <v>2025</v>
      </c>
      <c r="B1597" s="67">
        <v>20</v>
      </c>
      <c r="C1597" s="69" t="s">
        <v>28</v>
      </c>
      <c r="D1597" s="71" t="s">
        <v>20</v>
      </c>
      <c r="E1597" s="70" t="s">
        <v>286</v>
      </c>
      <c r="F1597" s="74">
        <v>0.68879999999999997</v>
      </c>
      <c r="G1597" s="70" t="s">
        <v>286</v>
      </c>
      <c r="H1597" s="74">
        <v>4.7899999999999998E-2</v>
      </c>
    </row>
    <row r="1598" spans="1:8" ht="15.6">
      <c r="A1598" s="468" t="s">
        <v>2026</v>
      </c>
      <c r="B1598" s="67">
        <v>21</v>
      </c>
      <c r="C1598" s="69" t="s">
        <v>28</v>
      </c>
      <c r="D1598" s="71" t="s">
        <v>53</v>
      </c>
      <c r="E1598" s="70" t="s">
        <v>286</v>
      </c>
      <c r="F1598" s="74">
        <v>0.309</v>
      </c>
      <c r="G1598" s="70" t="s">
        <v>286</v>
      </c>
      <c r="H1598" s="74">
        <v>1.5900000000000001E-2</v>
      </c>
    </row>
    <row r="1599" spans="1:8" ht="15.6">
      <c r="A1599" s="468" t="s">
        <v>2027</v>
      </c>
      <c r="B1599" s="67">
        <v>22</v>
      </c>
      <c r="C1599" s="69" t="s">
        <v>28</v>
      </c>
      <c r="D1599" s="71" t="s">
        <v>41</v>
      </c>
      <c r="E1599" s="70" t="s">
        <v>286</v>
      </c>
      <c r="F1599" s="74">
        <v>0.31180000000000002</v>
      </c>
      <c r="G1599" s="70" t="s">
        <v>286</v>
      </c>
      <c r="H1599" s="74">
        <v>1.61E-2</v>
      </c>
    </row>
    <row r="1600" spans="1:8" ht="15.6">
      <c r="A1600" s="468" t="s">
        <v>2028</v>
      </c>
      <c r="B1600" s="67">
        <v>23</v>
      </c>
      <c r="C1600" s="69" t="s">
        <v>28</v>
      </c>
      <c r="D1600" s="71" t="s">
        <v>36</v>
      </c>
      <c r="E1600" s="70" t="s">
        <v>286</v>
      </c>
      <c r="F1600" s="74">
        <v>0.19719999999999999</v>
      </c>
      <c r="G1600" s="70" t="s">
        <v>286</v>
      </c>
      <c r="H1600" s="74">
        <v>6.4999999999999997E-3</v>
      </c>
    </row>
    <row r="1601" spans="1:8" ht="15.6">
      <c r="A1601" s="468" t="s">
        <v>2029</v>
      </c>
      <c r="B1601" s="67">
        <v>24</v>
      </c>
      <c r="C1601" s="69" t="s">
        <v>28</v>
      </c>
      <c r="D1601" s="71" t="s">
        <v>15</v>
      </c>
      <c r="E1601" s="70" t="s">
        <v>286</v>
      </c>
      <c r="F1601" s="74">
        <v>0.5544</v>
      </c>
      <c r="G1601" s="70" t="s">
        <v>286</v>
      </c>
      <c r="H1601" s="74">
        <v>3.6600000000000001E-2</v>
      </c>
    </row>
    <row r="1602" spans="1:8" ht="15.6">
      <c r="A1602" s="468" t="s">
        <v>2030</v>
      </c>
      <c r="B1602" s="67">
        <v>25</v>
      </c>
      <c r="C1602" s="69" t="s">
        <v>28</v>
      </c>
      <c r="D1602" s="71" t="s">
        <v>16</v>
      </c>
      <c r="E1602" s="70" t="s">
        <v>286</v>
      </c>
      <c r="F1602" s="74">
        <v>0.83760000000000001</v>
      </c>
      <c r="G1602" s="70" t="s">
        <v>286</v>
      </c>
      <c r="H1602" s="74">
        <v>6.0400000000000002E-2</v>
      </c>
    </row>
    <row r="1603" spans="1:8" ht="15.6">
      <c r="A1603" s="468" t="s">
        <v>2031</v>
      </c>
      <c r="B1603" s="67">
        <v>26</v>
      </c>
      <c r="C1603" s="69" t="s">
        <v>28</v>
      </c>
      <c r="D1603" s="71" t="s">
        <v>17</v>
      </c>
      <c r="E1603" s="70" t="s">
        <v>286</v>
      </c>
      <c r="F1603" s="74">
        <v>1.5729</v>
      </c>
      <c r="G1603" s="70" t="s">
        <v>286</v>
      </c>
      <c r="H1603" s="74">
        <v>0.12230000000000001</v>
      </c>
    </row>
    <row r="1604" spans="1:8" ht="15.6">
      <c r="A1604" s="468" t="s">
        <v>2032</v>
      </c>
      <c r="B1604" s="67">
        <v>27</v>
      </c>
      <c r="C1604" s="69" t="s">
        <v>28</v>
      </c>
      <c r="D1604" s="71" t="s">
        <v>10</v>
      </c>
      <c r="E1604" s="70" t="s">
        <v>286</v>
      </c>
      <c r="F1604" s="74">
        <v>1.5729</v>
      </c>
      <c r="G1604" s="70" t="s">
        <v>286</v>
      </c>
      <c r="H1604" s="74">
        <v>0.12230000000000001</v>
      </c>
    </row>
    <row r="1605" spans="1:8" ht="15.6">
      <c r="A1605" s="468" t="s">
        <v>2033</v>
      </c>
      <c r="B1605" s="67">
        <v>28</v>
      </c>
      <c r="C1605" s="69" t="s">
        <v>28</v>
      </c>
      <c r="D1605" s="71" t="s">
        <v>22</v>
      </c>
      <c r="E1605" s="70" t="s">
        <v>286</v>
      </c>
      <c r="F1605" s="74">
        <v>0.52080000000000004</v>
      </c>
      <c r="G1605" s="70" t="s">
        <v>286</v>
      </c>
      <c r="H1605" s="74">
        <v>3.3700000000000001E-2</v>
      </c>
    </row>
    <row r="1606" spans="1:8" ht="15.6">
      <c r="A1606" s="468" t="s">
        <v>2034</v>
      </c>
      <c r="B1606" s="67">
        <v>29</v>
      </c>
      <c r="C1606" s="69" t="s">
        <v>28</v>
      </c>
      <c r="D1606" s="71" t="s">
        <v>35</v>
      </c>
      <c r="E1606" s="70" t="s">
        <v>286</v>
      </c>
      <c r="F1606" s="74">
        <v>0.159</v>
      </c>
      <c r="G1606" s="70" t="s">
        <v>286</v>
      </c>
      <c r="H1606" s="74">
        <v>3.3E-3</v>
      </c>
    </row>
    <row r="1607" spans="1:8" ht="15.6">
      <c r="A1607" s="468" t="s">
        <v>2035</v>
      </c>
      <c r="B1607" s="67">
        <v>30</v>
      </c>
      <c r="C1607" s="69" t="s">
        <v>28</v>
      </c>
      <c r="D1607" s="71" t="s">
        <v>24</v>
      </c>
      <c r="E1607" s="70" t="s">
        <v>286</v>
      </c>
      <c r="F1607" s="74">
        <v>0.67659999999999998</v>
      </c>
      <c r="G1607" s="70" t="s">
        <v>286</v>
      </c>
      <c r="H1607" s="74">
        <v>4.6800000000000001E-2</v>
      </c>
    </row>
    <row r="1608" spans="1:8" ht="15.6">
      <c r="A1608" s="468" t="s">
        <v>2036</v>
      </c>
      <c r="B1608" s="67">
        <v>31</v>
      </c>
      <c r="C1608" s="69" t="s">
        <v>28</v>
      </c>
      <c r="D1608" s="71" t="s">
        <v>37</v>
      </c>
      <c r="E1608" s="70" t="s">
        <v>286</v>
      </c>
      <c r="F1608" s="74">
        <v>0.19539999999999999</v>
      </c>
      <c r="G1608" s="70" t="s">
        <v>286</v>
      </c>
      <c r="H1608" s="74">
        <v>6.3E-3</v>
      </c>
    </row>
    <row r="1609" spans="1:8" ht="15.6">
      <c r="A1609" s="468" t="s">
        <v>2037</v>
      </c>
      <c r="B1609" s="67">
        <v>32</v>
      </c>
      <c r="C1609" s="69" t="s">
        <v>28</v>
      </c>
      <c r="D1609" s="71" t="s">
        <v>38</v>
      </c>
      <c r="E1609" s="70" t="s">
        <v>286</v>
      </c>
      <c r="F1609" s="74">
        <v>0.4672</v>
      </c>
      <c r="G1609" s="70" t="s">
        <v>286</v>
      </c>
      <c r="H1609" s="74">
        <v>2.92E-2</v>
      </c>
    </row>
    <row r="1610" spans="1:8" ht="15.6">
      <c r="A1610" s="468" t="s">
        <v>2038</v>
      </c>
      <c r="B1610" s="67">
        <v>33</v>
      </c>
      <c r="C1610" s="69" t="s">
        <v>28</v>
      </c>
      <c r="D1610" s="71" t="s">
        <v>26</v>
      </c>
      <c r="E1610" s="70" t="s">
        <v>286</v>
      </c>
      <c r="F1610" s="74">
        <v>0.69040000000000001</v>
      </c>
      <c r="G1610" s="70" t="s">
        <v>286</v>
      </c>
      <c r="H1610" s="74">
        <v>4.8000000000000001E-2</v>
      </c>
    </row>
    <row r="1611" spans="1:8" ht="15.6">
      <c r="A1611" s="468" t="s">
        <v>2039</v>
      </c>
      <c r="B1611" s="67">
        <v>34</v>
      </c>
      <c r="C1611" s="69" t="s">
        <v>28</v>
      </c>
      <c r="D1611" s="71" t="s">
        <v>52</v>
      </c>
      <c r="E1611" s="70" t="s">
        <v>286</v>
      </c>
      <c r="F1611" s="74">
        <v>1.6857</v>
      </c>
      <c r="G1611" s="70" t="s">
        <v>286</v>
      </c>
      <c r="H1611" s="74">
        <v>0.1318</v>
      </c>
    </row>
    <row r="1612" spans="1:8" ht="15.6">
      <c r="A1612" s="468" t="s">
        <v>2040</v>
      </c>
      <c r="B1612" s="67">
        <v>35</v>
      </c>
      <c r="C1612" s="69" t="s">
        <v>28</v>
      </c>
      <c r="D1612" s="71" t="s">
        <v>40</v>
      </c>
      <c r="E1612" s="70" t="s">
        <v>286</v>
      </c>
      <c r="F1612" s="74">
        <v>0.32790000000000002</v>
      </c>
      <c r="G1612" s="70" t="s">
        <v>286</v>
      </c>
      <c r="H1612" s="74">
        <v>1.7500000000000002E-2</v>
      </c>
    </row>
    <row r="1613" spans="1:8" ht="15.6">
      <c r="A1613" s="468" t="s">
        <v>2041</v>
      </c>
      <c r="B1613" s="67">
        <v>36</v>
      </c>
      <c r="C1613" s="69" t="s">
        <v>28</v>
      </c>
      <c r="D1613" s="71" t="s">
        <v>34</v>
      </c>
      <c r="E1613" s="70" t="s">
        <v>286</v>
      </c>
      <c r="F1613" s="74">
        <v>1.9001999999999999</v>
      </c>
      <c r="G1613" s="70" t="s">
        <v>286</v>
      </c>
      <c r="H1613" s="74">
        <v>0.14990000000000001</v>
      </c>
    </row>
    <row r="1614" spans="1:8" ht="15.6">
      <c r="A1614" s="468" t="s">
        <v>2042</v>
      </c>
      <c r="B1614" s="67">
        <v>37</v>
      </c>
      <c r="C1614" s="69" t="s">
        <v>28</v>
      </c>
      <c r="D1614" s="71" t="s">
        <v>54</v>
      </c>
      <c r="E1614" s="70" t="s">
        <v>286</v>
      </c>
      <c r="F1614" s="74">
        <v>0.309</v>
      </c>
      <c r="G1614" s="70" t="s">
        <v>286</v>
      </c>
      <c r="H1614" s="74">
        <v>1.5900000000000001E-2</v>
      </c>
    </row>
    <row r="1615" spans="1:8" ht="15.6">
      <c r="A1615" s="468" t="s">
        <v>2043</v>
      </c>
      <c r="B1615" s="67">
        <v>38</v>
      </c>
      <c r="C1615" s="69" t="s">
        <v>79</v>
      </c>
      <c r="D1615" s="71" t="s">
        <v>12</v>
      </c>
      <c r="E1615" s="70" t="s">
        <v>286</v>
      </c>
      <c r="F1615" s="74">
        <v>2.3997999999999999</v>
      </c>
      <c r="G1615" s="70" t="s">
        <v>286</v>
      </c>
      <c r="H1615" s="74">
        <v>0.19189999999999999</v>
      </c>
    </row>
    <row r="1616" spans="1:8" ht="15.6">
      <c r="A1616" s="468" t="s">
        <v>2044</v>
      </c>
      <c r="B1616" s="67">
        <v>39</v>
      </c>
      <c r="C1616" s="69" t="s">
        <v>79</v>
      </c>
      <c r="D1616" s="71" t="s">
        <v>51</v>
      </c>
      <c r="E1616" s="70" t="s">
        <v>286</v>
      </c>
      <c r="F1616" s="74">
        <v>2.0548999999999999</v>
      </c>
      <c r="G1616" s="70" t="s">
        <v>286</v>
      </c>
      <c r="H1616" s="74">
        <v>0.16289999999999999</v>
      </c>
    </row>
    <row r="1617" spans="1:8" ht="15.6">
      <c r="A1617" s="468" t="s">
        <v>2045</v>
      </c>
      <c r="B1617" s="67">
        <v>40</v>
      </c>
      <c r="C1617" s="69" t="s">
        <v>79</v>
      </c>
      <c r="D1617" s="71" t="s">
        <v>13</v>
      </c>
      <c r="E1617" s="70" t="s">
        <v>286</v>
      </c>
      <c r="F1617" s="74">
        <v>1.9136</v>
      </c>
      <c r="G1617" s="70" t="s">
        <v>286</v>
      </c>
      <c r="H1617" s="74">
        <v>0.151</v>
      </c>
    </row>
    <row r="1618" spans="1:8" ht="15.6">
      <c r="A1618" s="468" t="s">
        <v>2046</v>
      </c>
      <c r="B1618" s="67">
        <v>41</v>
      </c>
      <c r="C1618" s="69" t="s">
        <v>79</v>
      </c>
      <c r="D1618" s="71" t="s">
        <v>9</v>
      </c>
      <c r="E1618" s="70" t="s">
        <v>286</v>
      </c>
      <c r="F1618" s="74">
        <v>1.6999</v>
      </c>
      <c r="G1618" s="70" t="s">
        <v>286</v>
      </c>
      <c r="H1618" s="74">
        <v>0.13300000000000001</v>
      </c>
    </row>
    <row r="1619" spans="1:8" ht="15.6">
      <c r="A1619" s="468" t="s">
        <v>2047</v>
      </c>
      <c r="B1619" s="67">
        <v>42</v>
      </c>
      <c r="C1619" s="69" t="s">
        <v>79</v>
      </c>
      <c r="D1619" s="71" t="s">
        <v>14</v>
      </c>
      <c r="E1619" s="70" t="s">
        <v>286</v>
      </c>
      <c r="F1619" s="74">
        <v>1.6833</v>
      </c>
      <c r="G1619" s="70" t="s">
        <v>286</v>
      </c>
      <c r="H1619" s="74">
        <v>0.13159999999999999</v>
      </c>
    </row>
    <row r="1620" spans="1:8" ht="15.6">
      <c r="A1620" s="468" t="s">
        <v>2048</v>
      </c>
      <c r="B1620" s="67">
        <v>43</v>
      </c>
      <c r="C1620" s="69" t="s">
        <v>79</v>
      </c>
      <c r="D1620" s="71" t="s">
        <v>33</v>
      </c>
      <c r="E1620" s="70" t="s">
        <v>286</v>
      </c>
      <c r="F1620" s="74">
        <v>1.3149999999999999</v>
      </c>
      <c r="G1620" s="70" t="s">
        <v>286</v>
      </c>
      <c r="H1620" s="74">
        <v>0.10059999999999999</v>
      </c>
    </row>
    <row r="1621" spans="1:8" ht="15.6">
      <c r="A1621" s="468" t="s">
        <v>2049</v>
      </c>
      <c r="B1621" s="67">
        <v>44</v>
      </c>
      <c r="C1621" s="69" t="s">
        <v>79</v>
      </c>
      <c r="D1621" s="71" t="s">
        <v>25</v>
      </c>
      <c r="E1621" s="70" t="s">
        <v>286</v>
      </c>
      <c r="F1621" s="74">
        <v>1.1637</v>
      </c>
      <c r="G1621" s="70" t="s">
        <v>286</v>
      </c>
      <c r="H1621" s="74">
        <v>8.7900000000000006E-2</v>
      </c>
    </row>
    <row r="1622" spans="1:8" ht="15.6">
      <c r="A1622" s="468" t="s">
        <v>2050</v>
      </c>
      <c r="B1622" s="67">
        <v>45</v>
      </c>
      <c r="C1622" s="69" t="s">
        <v>79</v>
      </c>
      <c r="D1622" s="71" t="s">
        <v>31</v>
      </c>
      <c r="E1622" s="70" t="s">
        <v>286</v>
      </c>
      <c r="F1622" s="74">
        <v>0.56559999999999999</v>
      </c>
      <c r="G1622" s="70" t="s">
        <v>286</v>
      </c>
      <c r="H1622" s="74">
        <v>3.7499999999999999E-2</v>
      </c>
    </row>
    <row r="1623" spans="1:8" ht="15.6">
      <c r="A1623" s="468" t="s">
        <v>2051</v>
      </c>
      <c r="B1623" s="67">
        <v>46</v>
      </c>
      <c r="C1623" s="69" t="s">
        <v>79</v>
      </c>
      <c r="D1623" s="71" t="s">
        <v>45</v>
      </c>
      <c r="E1623" s="70" t="s">
        <v>286</v>
      </c>
      <c r="F1623" s="74">
        <v>0.90080000000000005</v>
      </c>
      <c r="G1623" s="70" t="s">
        <v>286</v>
      </c>
      <c r="H1623" s="74">
        <v>6.5699999999999995E-2</v>
      </c>
    </row>
    <row r="1624" spans="1:8" ht="15.6">
      <c r="A1624" s="468" t="s">
        <v>2052</v>
      </c>
      <c r="B1624" s="67">
        <v>47</v>
      </c>
      <c r="C1624" s="69" t="s">
        <v>79</v>
      </c>
      <c r="D1624" s="71" t="s">
        <v>27</v>
      </c>
      <c r="E1624" s="70" t="s">
        <v>286</v>
      </c>
      <c r="F1624" s="74">
        <v>0.69379999999999997</v>
      </c>
      <c r="G1624" s="70" t="s">
        <v>286</v>
      </c>
      <c r="H1624" s="74">
        <v>4.8300000000000003E-2</v>
      </c>
    </row>
    <row r="1625" spans="1:8" ht="15.6">
      <c r="A1625" s="468" t="s">
        <v>2053</v>
      </c>
      <c r="B1625" s="67">
        <v>48</v>
      </c>
      <c r="C1625" s="69" t="s">
        <v>79</v>
      </c>
      <c r="D1625" s="71" t="s">
        <v>21</v>
      </c>
      <c r="E1625" s="70" t="s">
        <v>286</v>
      </c>
      <c r="F1625" s="74">
        <v>0.54</v>
      </c>
      <c r="G1625" s="70" t="s">
        <v>286</v>
      </c>
      <c r="H1625" s="74">
        <v>3.5299999999999998E-2</v>
      </c>
    </row>
    <row r="1626" spans="1:8" ht="15.6">
      <c r="A1626" s="468" t="s">
        <v>2054</v>
      </c>
      <c r="B1626" s="67">
        <v>49</v>
      </c>
      <c r="C1626" s="69" t="s">
        <v>79</v>
      </c>
      <c r="D1626" s="71" t="s">
        <v>32</v>
      </c>
      <c r="E1626" s="70" t="s">
        <v>286</v>
      </c>
      <c r="F1626" s="74">
        <v>0.80610000000000004</v>
      </c>
      <c r="G1626" s="70" t="s">
        <v>286</v>
      </c>
      <c r="H1626" s="74">
        <v>5.7799999999999997E-2</v>
      </c>
    </row>
    <row r="1627" spans="1:8" ht="15.6">
      <c r="A1627" s="468" t="s">
        <v>2055</v>
      </c>
      <c r="B1627" s="67">
        <v>50</v>
      </c>
      <c r="C1627" s="69" t="s">
        <v>79</v>
      </c>
      <c r="D1627" s="71" t="s">
        <v>30</v>
      </c>
      <c r="E1627" s="70" t="s">
        <v>286</v>
      </c>
      <c r="F1627" s="74">
        <v>0.2883</v>
      </c>
      <c r="G1627" s="70" t="s">
        <v>286</v>
      </c>
      <c r="H1627" s="74">
        <v>1.4200000000000001E-2</v>
      </c>
    </row>
    <row r="1628" spans="1:8" ht="15.6">
      <c r="A1628" s="468" t="s">
        <v>2056</v>
      </c>
      <c r="B1628" s="67">
        <v>51</v>
      </c>
      <c r="C1628" s="69" t="s">
        <v>79</v>
      </c>
      <c r="D1628" s="71" t="s">
        <v>28</v>
      </c>
      <c r="E1628" s="70" t="s">
        <v>286</v>
      </c>
      <c r="F1628" s="74">
        <v>0.17530000000000001</v>
      </c>
      <c r="G1628" s="70" t="s">
        <v>286</v>
      </c>
      <c r="H1628" s="74">
        <v>4.5999999999999999E-3</v>
      </c>
    </row>
    <row r="1629" spans="1:8" ht="15.6">
      <c r="A1629" s="468" t="s">
        <v>2057</v>
      </c>
      <c r="B1629" s="67">
        <v>52</v>
      </c>
      <c r="C1629" s="69" t="s">
        <v>79</v>
      </c>
      <c r="D1629" s="71" t="s">
        <v>79</v>
      </c>
      <c r="E1629" s="70" t="s">
        <v>286</v>
      </c>
      <c r="F1629" s="74">
        <v>0.13289999999999999</v>
      </c>
      <c r="G1629" s="70" t="s">
        <v>286</v>
      </c>
      <c r="H1629" s="74">
        <v>1.1000000000000001E-3</v>
      </c>
    </row>
    <row r="1630" spans="1:8" ht="15.6">
      <c r="A1630" s="468" t="s">
        <v>2058</v>
      </c>
      <c r="B1630" s="67">
        <v>53</v>
      </c>
      <c r="C1630" s="69" t="s">
        <v>79</v>
      </c>
      <c r="D1630" s="71" t="s">
        <v>29</v>
      </c>
      <c r="E1630" s="70" t="s">
        <v>286</v>
      </c>
      <c r="F1630" s="74">
        <v>0.39850000000000002</v>
      </c>
      <c r="G1630" s="70" t="s">
        <v>286</v>
      </c>
      <c r="H1630" s="74">
        <v>2.3400000000000001E-2</v>
      </c>
    </row>
    <row r="1631" spans="1:8" ht="15.6">
      <c r="A1631" s="468" t="s">
        <v>2059</v>
      </c>
      <c r="B1631" s="67">
        <v>54</v>
      </c>
      <c r="C1631" s="69" t="s">
        <v>79</v>
      </c>
      <c r="D1631" s="71" t="s">
        <v>43</v>
      </c>
      <c r="E1631" s="70" t="s">
        <v>286</v>
      </c>
      <c r="F1631" s="74">
        <v>0.1421</v>
      </c>
      <c r="G1631" s="70" t="s">
        <v>286</v>
      </c>
      <c r="H1631" s="74">
        <v>1.8E-3</v>
      </c>
    </row>
    <row r="1632" spans="1:8" ht="15.6">
      <c r="A1632" s="468" t="s">
        <v>2060</v>
      </c>
      <c r="B1632" s="67">
        <v>55</v>
      </c>
      <c r="C1632" s="69" t="s">
        <v>79</v>
      </c>
      <c r="D1632" s="71" t="s">
        <v>18</v>
      </c>
      <c r="E1632" s="70" t="s">
        <v>286</v>
      </c>
      <c r="F1632" s="74">
        <v>0.20499999999999999</v>
      </c>
      <c r="G1632" s="70" t="s">
        <v>286</v>
      </c>
      <c r="H1632" s="74">
        <v>7.1000000000000004E-3</v>
      </c>
    </row>
    <row r="1633" spans="1:8" ht="15.6">
      <c r="A1633" s="468" t="s">
        <v>2061</v>
      </c>
      <c r="B1633" s="67">
        <v>56</v>
      </c>
      <c r="C1633" s="69" t="s">
        <v>79</v>
      </c>
      <c r="D1633" s="71" t="s">
        <v>76</v>
      </c>
      <c r="E1633" s="70" t="s">
        <v>286</v>
      </c>
      <c r="F1633" s="74">
        <v>0.1421</v>
      </c>
      <c r="G1633" s="70" t="s">
        <v>286</v>
      </c>
      <c r="H1633" s="74">
        <v>1.8E-3</v>
      </c>
    </row>
    <row r="1634" spans="1:8" ht="15.6">
      <c r="A1634" s="468" t="s">
        <v>2062</v>
      </c>
      <c r="B1634" s="67">
        <v>57</v>
      </c>
      <c r="C1634" s="69" t="s">
        <v>79</v>
      </c>
      <c r="D1634" s="71" t="s">
        <v>19</v>
      </c>
      <c r="E1634" s="70" t="s">
        <v>286</v>
      </c>
      <c r="F1634" s="74">
        <v>0.50770000000000004</v>
      </c>
      <c r="G1634" s="70" t="s">
        <v>286</v>
      </c>
      <c r="H1634" s="74">
        <v>3.2599999999999997E-2</v>
      </c>
    </row>
    <row r="1635" spans="1:8" ht="15.6">
      <c r="A1635" s="468" t="s">
        <v>2063</v>
      </c>
      <c r="B1635" s="67">
        <v>58</v>
      </c>
      <c r="C1635" s="69" t="s">
        <v>79</v>
      </c>
      <c r="D1635" s="71" t="s">
        <v>23</v>
      </c>
      <c r="E1635" s="70" t="s">
        <v>286</v>
      </c>
      <c r="F1635" s="74">
        <v>0.3836</v>
      </c>
      <c r="G1635" s="70" t="s">
        <v>286</v>
      </c>
      <c r="H1635" s="74">
        <v>2.2200000000000001E-2</v>
      </c>
    </row>
    <row r="1636" spans="1:8" ht="15.6">
      <c r="A1636" s="468" t="s">
        <v>2064</v>
      </c>
      <c r="B1636" s="67">
        <v>59</v>
      </c>
      <c r="C1636" s="69" t="s">
        <v>79</v>
      </c>
      <c r="D1636" s="71" t="s">
        <v>20</v>
      </c>
      <c r="E1636" s="70" t="s">
        <v>286</v>
      </c>
      <c r="F1636" s="74">
        <v>0.64939999999999998</v>
      </c>
      <c r="G1636" s="70" t="s">
        <v>286</v>
      </c>
      <c r="H1636" s="74">
        <v>4.4600000000000001E-2</v>
      </c>
    </row>
    <row r="1637" spans="1:8" ht="15.6">
      <c r="A1637" s="468" t="s">
        <v>2065</v>
      </c>
      <c r="B1637" s="67">
        <v>60</v>
      </c>
      <c r="C1637" s="69" t="s">
        <v>79</v>
      </c>
      <c r="D1637" s="71" t="s">
        <v>53</v>
      </c>
      <c r="E1637" s="70" t="s">
        <v>286</v>
      </c>
      <c r="F1637" s="74">
        <v>0.32240000000000002</v>
      </c>
      <c r="G1637" s="70" t="s">
        <v>286</v>
      </c>
      <c r="H1637" s="74">
        <v>1.7000000000000001E-2</v>
      </c>
    </row>
    <row r="1638" spans="1:8" ht="15.6">
      <c r="A1638" s="468" t="s">
        <v>2066</v>
      </c>
      <c r="B1638" s="67">
        <v>61</v>
      </c>
      <c r="C1638" s="69" t="s">
        <v>79</v>
      </c>
      <c r="D1638" s="71" t="s">
        <v>41</v>
      </c>
      <c r="E1638" s="70" t="s">
        <v>286</v>
      </c>
      <c r="F1638" s="74">
        <v>0.32529999999999998</v>
      </c>
      <c r="G1638" s="70" t="s">
        <v>286</v>
      </c>
      <c r="H1638" s="74">
        <v>1.7299999999999999E-2</v>
      </c>
    </row>
    <row r="1639" spans="1:8" ht="15.6">
      <c r="A1639" s="468" t="s">
        <v>2067</v>
      </c>
      <c r="B1639" s="67">
        <v>62</v>
      </c>
      <c r="C1639" s="69" t="s">
        <v>79</v>
      </c>
      <c r="D1639" s="71" t="s">
        <v>36</v>
      </c>
      <c r="E1639" s="70" t="s">
        <v>286</v>
      </c>
      <c r="F1639" s="74">
        <v>0.2311</v>
      </c>
      <c r="G1639" s="70" t="s">
        <v>286</v>
      </c>
      <c r="H1639" s="74">
        <v>9.2999999999999992E-3</v>
      </c>
    </row>
    <row r="1640" spans="1:8" ht="15.6">
      <c r="A1640" s="468" t="s">
        <v>2068</v>
      </c>
      <c r="B1640" s="67">
        <v>63</v>
      </c>
      <c r="C1640" s="69" t="s">
        <v>79</v>
      </c>
      <c r="D1640" s="71" t="s">
        <v>15</v>
      </c>
      <c r="E1640" s="70" t="s">
        <v>286</v>
      </c>
      <c r="F1640" s="74">
        <v>0.5151</v>
      </c>
      <c r="G1640" s="70" t="s">
        <v>286</v>
      </c>
      <c r="H1640" s="74">
        <v>3.3300000000000003E-2</v>
      </c>
    </row>
    <row r="1641" spans="1:8" ht="15.6">
      <c r="A1641" s="468" t="s">
        <v>2069</v>
      </c>
      <c r="B1641" s="67">
        <v>64</v>
      </c>
      <c r="C1641" s="69" t="s">
        <v>79</v>
      </c>
      <c r="D1641" s="71" t="s">
        <v>16</v>
      </c>
      <c r="E1641" s="70" t="s">
        <v>286</v>
      </c>
      <c r="F1641" s="74">
        <v>0.79820000000000002</v>
      </c>
      <c r="G1641" s="70" t="s">
        <v>286</v>
      </c>
      <c r="H1641" s="74">
        <v>5.7099999999999998E-2</v>
      </c>
    </row>
    <row r="1642" spans="1:8" ht="15.6">
      <c r="A1642" s="468" t="s">
        <v>2070</v>
      </c>
      <c r="B1642" s="67">
        <v>65</v>
      </c>
      <c r="C1642" s="69" t="s">
        <v>79</v>
      </c>
      <c r="D1642" s="71" t="s">
        <v>17</v>
      </c>
      <c r="E1642" s="70" t="s">
        <v>286</v>
      </c>
      <c r="F1642" s="74">
        <v>1.5863</v>
      </c>
      <c r="G1642" s="70" t="s">
        <v>286</v>
      </c>
      <c r="H1642" s="74">
        <v>0.1234</v>
      </c>
    </row>
    <row r="1643" spans="1:8" ht="15.6">
      <c r="A1643" s="468" t="s">
        <v>2071</v>
      </c>
      <c r="B1643" s="67">
        <v>66</v>
      </c>
      <c r="C1643" s="69" t="s">
        <v>79</v>
      </c>
      <c r="D1643" s="71" t="s">
        <v>10</v>
      </c>
      <c r="E1643" s="70" t="s">
        <v>286</v>
      </c>
      <c r="F1643" s="74">
        <v>1.5863</v>
      </c>
      <c r="G1643" s="70" t="s">
        <v>286</v>
      </c>
      <c r="H1643" s="74">
        <v>0.1234</v>
      </c>
    </row>
    <row r="1644" spans="1:8" ht="15.6">
      <c r="A1644" s="468" t="s">
        <v>2072</v>
      </c>
      <c r="B1644" s="67">
        <v>67</v>
      </c>
      <c r="C1644" s="69" t="s">
        <v>79</v>
      </c>
      <c r="D1644" s="71" t="s">
        <v>22</v>
      </c>
      <c r="E1644" s="70" t="s">
        <v>286</v>
      </c>
      <c r="F1644" s="74">
        <v>0.48139999999999999</v>
      </c>
      <c r="G1644" s="70" t="s">
        <v>286</v>
      </c>
      <c r="H1644" s="74">
        <v>3.04E-2</v>
      </c>
    </row>
    <row r="1645" spans="1:8" ht="15.6">
      <c r="A1645" s="468" t="s">
        <v>2073</v>
      </c>
      <c r="B1645" s="67">
        <v>68</v>
      </c>
      <c r="C1645" s="69" t="s">
        <v>79</v>
      </c>
      <c r="D1645" s="71" t="s">
        <v>35</v>
      </c>
      <c r="E1645" s="70" t="s">
        <v>286</v>
      </c>
      <c r="F1645" s="74">
        <v>0.1724</v>
      </c>
      <c r="G1645" s="70" t="s">
        <v>286</v>
      </c>
      <c r="H1645" s="74">
        <v>4.4000000000000003E-3</v>
      </c>
    </row>
    <row r="1646" spans="1:8" ht="15.6">
      <c r="A1646" s="468" t="s">
        <v>2074</v>
      </c>
      <c r="B1646" s="67">
        <v>69</v>
      </c>
      <c r="C1646" s="69" t="s">
        <v>79</v>
      </c>
      <c r="D1646" s="71" t="s">
        <v>24</v>
      </c>
      <c r="E1646" s="70" t="s">
        <v>286</v>
      </c>
      <c r="F1646" s="74">
        <v>0.63719999999999999</v>
      </c>
      <c r="G1646" s="70" t="s">
        <v>286</v>
      </c>
      <c r="H1646" s="74">
        <v>4.3499999999999997E-2</v>
      </c>
    </row>
    <row r="1647" spans="1:8" ht="15.6">
      <c r="A1647" s="468" t="s">
        <v>2075</v>
      </c>
      <c r="B1647" s="67">
        <v>70</v>
      </c>
      <c r="C1647" s="69" t="s">
        <v>79</v>
      </c>
      <c r="D1647" s="71" t="s">
        <v>37</v>
      </c>
      <c r="E1647" s="70" t="s">
        <v>286</v>
      </c>
      <c r="F1647" s="74">
        <v>0.22919999999999999</v>
      </c>
      <c r="G1647" s="70" t="s">
        <v>286</v>
      </c>
      <c r="H1647" s="74">
        <v>9.1999999999999998E-3</v>
      </c>
    </row>
    <row r="1648" spans="1:8" ht="15.6">
      <c r="A1648" s="468" t="s">
        <v>2076</v>
      </c>
      <c r="B1648" s="67">
        <v>71</v>
      </c>
      <c r="C1648" s="69" t="s">
        <v>79</v>
      </c>
      <c r="D1648" s="71" t="s">
        <v>38</v>
      </c>
      <c r="E1648" s="70" t="s">
        <v>286</v>
      </c>
      <c r="F1648" s="74">
        <v>0.42780000000000001</v>
      </c>
      <c r="G1648" s="70" t="s">
        <v>286</v>
      </c>
      <c r="H1648" s="74">
        <v>2.5899999999999999E-2</v>
      </c>
    </row>
    <row r="1649" spans="1:8" ht="15.6">
      <c r="A1649" s="468" t="s">
        <v>2077</v>
      </c>
      <c r="B1649" s="67">
        <v>72</v>
      </c>
      <c r="C1649" s="69" t="s">
        <v>79</v>
      </c>
      <c r="D1649" s="71" t="s">
        <v>26</v>
      </c>
      <c r="E1649" s="70" t="s">
        <v>286</v>
      </c>
      <c r="F1649" s="74">
        <v>0.65110000000000001</v>
      </c>
      <c r="G1649" s="70" t="s">
        <v>286</v>
      </c>
      <c r="H1649" s="74">
        <v>4.4699999999999997E-2</v>
      </c>
    </row>
    <row r="1650" spans="1:8" ht="15.6">
      <c r="A1650" s="468" t="s">
        <v>2078</v>
      </c>
      <c r="B1650" s="67">
        <v>73</v>
      </c>
      <c r="C1650" s="69" t="s">
        <v>79</v>
      </c>
      <c r="D1650" s="71" t="s">
        <v>52</v>
      </c>
      <c r="E1650" s="70" t="s">
        <v>286</v>
      </c>
      <c r="F1650" s="74">
        <v>1.6833</v>
      </c>
      <c r="G1650" s="70" t="s">
        <v>286</v>
      </c>
      <c r="H1650" s="74">
        <v>0.13159999999999999</v>
      </c>
    </row>
    <row r="1651" spans="1:8" ht="15.6">
      <c r="A1651" s="468" t="s">
        <v>2079</v>
      </c>
      <c r="B1651" s="67">
        <v>74</v>
      </c>
      <c r="C1651" s="69" t="s">
        <v>79</v>
      </c>
      <c r="D1651" s="71" t="s">
        <v>40</v>
      </c>
      <c r="E1651" s="70" t="s">
        <v>286</v>
      </c>
      <c r="F1651" s="74">
        <v>0.34129999999999999</v>
      </c>
      <c r="G1651" s="70" t="s">
        <v>286</v>
      </c>
      <c r="H1651" s="74">
        <v>1.8599999999999998E-2</v>
      </c>
    </row>
    <row r="1652" spans="1:8" ht="15.6">
      <c r="A1652" s="468" t="s">
        <v>2080</v>
      </c>
      <c r="B1652" s="67">
        <v>75</v>
      </c>
      <c r="C1652" s="69" t="s">
        <v>79</v>
      </c>
      <c r="D1652" s="71" t="s">
        <v>34</v>
      </c>
      <c r="E1652" s="70" t="s">
        <v>286</v>
      </c>
      <c r="F1652" s="74">
        <v>1.9136</v>
      </c>
      <c r="G1652" s="70" t="s">
        <v>286</v>
      </c>
      <c r="H1652" s="74">
        <v>0.151</v>
      </c>
    </row>
    <row r="1653" spans="1:8" ht="15.6">
      <c r="A1653" s="468" t="s">
        <v>2081</v>
      </c>
      <c r="B1653" s="67">
        <v>76</v>
      </c>
      <c r="C1653" s="69" t="s">
        <v>79</v>
      </c>
      <c r="D1653" s="71" t="s">
        <v>54</v>
      </c>
      <c r="E1653" s="70" t="s">
        <v>286</v>
      </c>
      <c r="F1653" s="74">
        <v>0.32240000000000002</v>
      </c>
      <c r="G1653" s="70" t="s">
        <v>286</v>
      </c>
      <c r="H1653" s="74">
        <v>1.7000000000000001E-2</v>
      </c>
    </row>
    <row r="1654" spans="1:8" ht="15.6">
      <c r="A1654" s="468" t="s">
        <v>2082</v>
      </c>
      <c r="B1654" s="67">
        <v>77</v>
      </c>
      <c r="C1654" s="69" t="s">
        <v>42</v>
      </c>
      <c r="D1654" s="71" t="s">
        <v>12</v>
      </c>
      <c r="E1654" s="70">
        <v>67.229050000000001</v>
      </c>
      <c r="F1654" s="74">
        <v>2.2103000000000002</v>
      </c>
      <c r="G1654" s="70">
        <v>5.3520599999999998</v>
      </c>
      <c r="H1654" s="74">
        <v>0.17599999999999999</v>
      </c>
    </row>
    <row r="1655" spans="1:8" ht="15.6">
      <c r="A1655" s="468" t="s">
        <v>2083</v>
      </c>
      <c r="B1655" s="67">
        <v>1</v>
      </c>
      <c r="C1655" s="69" t="s">
        <v>42</v>
      </c>
      <c r="D1655" s="71" t="s">
        <v>51</v>
      </c>
      <c r="E1655" s="70">
        <v>56.73986</v>
      </c>
      <c r="F1655" s="74">
        <v>1.8653999999999999</v>
      </c>
      <c r="G1655" s="70">
        <v>4.4690000000000003</v>
      </c>
      <c r="H1655" s="74">
        <v>0.1469</v>
      </c>
    </row>
    <row r="1656" spans="1:8" ht="15.6">
      <c r="A1656" s="468" t="s">
        <v>2084</v>
      </c>
      <c r="B1656" s="67">
        <v>2</v>
      </c>
      <c r="C1656" s="69" t="s">
        <v>42</v>
      </c>
      <c r="D1656" s="71" t="s">
        <v>13</v>
      </c>
      <c r="E1656" s="70">
        <v>52.44229</v>
      </c>
      <c r="F1656" s="74">
        <v>1.7241</v>
      </c>
      <c r="G1656" s="70">
        <v>4.1072100000000002</v>
      </c>
      <c r="H1656" s="74">
        <v>0.13500000000000001</v>
      </c>
    </row>
    <row r="1657" spans="1:8" ht="15.6">
      <c r="A1657" s="468" t="s">
        <v>2085</v>
      </c>
      <c r="B1657" s="67">
        <v>3</v>
      </c>
      <c r="C1657" s="69" t="s">
        <v>42</v>
      </c>
      <c r="D1657" s="71" t="s">
        <v>9</v>
      </c>
      <c r="E1657" s="70">
        <v>45.941330000000001</v>
      </c>
      <c r="F1657" s="74">
        <v>1.5104</v>
      </c>
      <c r="G1657" s="70">
        <v>3.5599099999999999</v>
      </c>
      <c r="H1657" s="74">
        <v>0.11700000000000001</v>
      </c>
    </row>
    <row r="1658" spans="1:8" ht="15.6">
      <c r="A1658" s="468" t="s">
        <v>2086</v>
      </c>
      <c r="B1658" s="67">
        <v>4</v>
      </c>
      <c r="C1658" s="69" t="s">
        <v>42</v>
      </c>
      <c r="D1658" s="71" t="s">
        <v>14</v>
      </c>
      <c r="E1658" s="70">
        <v>45.918219999999998</v>
      </c>
      <c r="F1658" s="74">
        <v>1.5096000000000001</v>
      </c>
      <c r="G1658" s="70">
        <v>3.55796</v>
      </c>
      <c r="H1658" s="74">
        <v>0.11700000000000001</v>
      </c>
    </row>
    <row r="1659" spans="1:8" ht="15.6">
      <c r="A1659" s="468" t="s">
        <v>2087</v>
      </c>
      <c r="B1659" s="67">
        <v>5</v>
      </c>
      <c r="C1659" s="69" t="s">
        <v>42</v>
      </c>
      <c r="D1659" s="71" t="s">
        <v>33</v>
      </c>
      <c r="E1659" s="70">
        <v>44.867019999999997</v>
      </c>
      <c r="F1659" s="74">
        <v>1.4751000000000001</v>
      </c>
      <c r="G1659" s="70">
        <v>3.4694699999999998</v>
      </c>
      <c r="H1659" s="74">
        <v>0.11409999999999999</v>
      </c>
    </row>
    <row r="1660" spans="1:8" ht="15.6">
      <c r="A1660" s="468" t="s">
        <v>2088</v>
      </c>
      <c r="B1660" s="67">
        <v>6</v>
      </c>
      <c r="C1660" s="69" t="s">
        <v>42</v>
      </c>
      <c r="D1660" s="71" t="s">
        <v>25</v>
      </c>
      <c r="E1660" s="70">
        <v>40.604120000000002</v>
      </c>
      <c r="F1660" s="74">
        <v>1.3349</v>
      </c>
      <c r="G1660" s="70">
        <v>3.1105999999999998</v>
      </c>
      <c r="H1660" s="74">
        <v>0.1023</v>
      </c>
    </row>
    <row r="1661" spans="1:8" ht="15.6">
      <c r="A1661" s="468" t="s">
        <v>2089</v>
      </c>
      <c r="B1661" s="67">
        <v>7</v>
      </c>
      <c r="C1661" s="69" t="s">
        <v>42</v>
      </c>
      <c r="D1661" s="71" t="s">
        <v>31</v>
      </c>
      <c r="E1661" s="70">
        <v>22.413740000000001</v>
      </c>
      <c r="F1661" s="74">
        <v>0.7369</v>
      </c>
      <c r="G1661" s="70">
        <v>1.5792200000000001</v>
      </c>
      <c r="H1661" s="74">
        <v>5.1900000000000002E-2</v>
      </c>
    </row>
    <row r="1662" spans="1:8" ht="15.6">
      <c r="A1662" s="468" t="s">
        <v>2090</v>
      </c>
      <c r="B1662" s="67">
        <v>8</v>
      </c>
      <c r="C1662" s="69" t="s">
        <v>42</v>
      </c>
      <c r="D1662" s="71" t="s">
        <v>45</v>
      </c>
      <c r="E1662" s="70">
        <v>32.606969999999997</v>
      </c>
      <c r="F1662" s="74">
        <v>1.0720000000000001</v>
      </c>
      <c r="G1662" s="70">
        <v>2.43736</v>
      </c>
      <c r="H1662" s="74">
        <v>8.0100000000000005E-2</v>
      </c>
    </row>
    <row r="1663" spans="1:8" ht="15.6">
      <c r="A1663" s="468" t="s">
        <v>2091</v>
      </c>
      <c r="B1663" s="67">
        <v>9</v>
      </c>
      <c r="C1663" s="69" t="s">
        <v>42</v>
      </c>
      <c r="D1663" s="71" t="s">
        <v>27</v>
      </c>
      <c r="E1663" s="70">
        <v>26.31072</v>
      </c>
      <c r="F1663" s="74">
        <v>0.86499999999999999</v>
      </c>
      <c r="G1663" s="70">
        <v>1.9073199999999999</v>
      </c>
      <c r="H1663" s="74">
        <v>6.2700000000000006E-2</v>
      </c>
    </row>
    <row r="1664" spans="1:8" ht="15.6">
      <c r="A1664" s="468" t="s">
        <v>2092</v>
      </c>
      <c r="B1664" s="67">
        <v>10</v>
      </c>
      <c r="C1664" s="69" t="s">
        <v>42</v>
      </c>
      <c r="D1664" s="71" t="s">
        <v>21</v>
      </c>
      <c r="E1664" s="70">
        <v>21.632639999999999</v>
      </c>
      <c r="F1664" s="74">
        <v>0.71120000000000005</v>
      </c>
      <c r="G1664" s="70">
        <v>1.51345</v>
      </c>
      <c r="H1664" s="74">
        <v>4.9799999999999997E-2</v>
      </c>
    </row>
    <row r="1665" spans="1:8" ht="15.6">
      <c r="A1665" s="468" t="s">
        <v>2093</v>
      </c>
      <c r="B1665" s="67">
        <v>11</v>
      </c>
      <c r="C1665" s="69" t="s">
        <v>42</v>
      </c>
      <c r="D1665" s="71" t="s">
        <v>32</v>
      </c>
      <c r="E1665" s="70">
        <v>18.755220000000001</v>
      </c>
      <c r="F1665" s="74">
        <v>0.61660000000000004</v>
      </c>
      <c r="G1665" s="70">
        <v>1.27125</v>
      </c>
      <c r="H1665" s="74">
        <v>4.1799999999999997E-2</v>
      </c>
    </row>
    <row r="1666" spans="1:8" ht="15.6">
      <c r="A1666" s="468" t="s">
        <v>2094</v>
      </c>
      <c r="B1666" s="67">
        <v>12</v>
      </c>
      <c r="C1666" s="69" t="s">
        <v>42</v>
      </c>
      <c r="D1666" s="71" t="s">
        <v>30</v>
      </c>
      <c r="E1666" s="70">
        <v>13.97828</v>
      </c>
      <c r="F1666" s="74">
        <v>0.45960000000000001</v>
      </c>
      <c r="G1666" s="70">
        <v>0.86907999999999996</v>
      </c>
      <c r="H1666" s="74">
        <v>2.86E-2</v>
      </c>
    </row>
    <row r="1667" spans="1:8" ht="15.6">
      <c r="A1667" s="468" t="s">
        <v>2095</v>
      </c>
      <c r="B1667" s="67">
        <v>13</v>
      </c>
      <c r="C1667" s="69" t="s">
        <v>42</v>
      </c>
      <c r="D1667" s="71" t="s">
        <v>28</v>
      </c>
      <c r="E1667" s="70">
        <v>9.3975299999999997</v>
      </c>
      <c r="F1667" s="74">
        <v>0.309</v>
      </c>
      <c r="G1667" s="70">
        <v>0.48344999999999999</v>
      </c>
      <c r="H1667" s="74">
        <v>1.5900000000000001E-2</v>
      </c>
    </row>
    <row r="1668" spans="1:8" ht="15.6">
      <c r="A1668" s="468" t="s">
        <v>2096</v>
      </c>
      <c r="B1668" s="67">
        <v>14</v>
      </c>
      <c r="C1668" s="69" t="s">
        <v>42</v>
      </c>
      <c r="D1668" s="71" t="s">
        <v>79</v>
      </c>
      <c r="E1668" s="70">
        <v>9.8066399999999998</v>
      </c>
      <c r="F1668" s="74">
        <v>0.32240000000000002</v>
      </c>
      <c r="G1668" s="70">
        <v>0.51787000000000005</v>
      </c>
      <c r="H1668" s="74">
        <v>1.7000000000000001E-2</v>
      </c>
    </row>
    <row r="1669" spans="1:8" ht="15.6">
      <c r="A1669" s="468" t="s">
        <v>2097</v>
      </c>
      <c r="B1669" s="67">
        <v>15</v>
      </c>
      <c r="C1669" s="69" t="s">
        <v>42</v>
      </c>
      <c r="D1669" s="71" t="s">
        <v>29</v>
      </c>
      <c r="E1669" s="70">
        <v>17.32685</v>
      </c>
      <c r="F1669" s="74">
        <v>0.56969999999999998</v>
      </c>
      <c r="G1669" s="70">
        <v>1.1510100000000001</v>
      </c>
      <c r="H1669" s="74">
        <v>3.78E-2</v>
      </c>
    </row>
    <row r="1670" spans="1:8" ht="15.6">
      <c r="A1670" s="468" t="s">
        <v>2098</v>
      </c>
      <c r="B1670" s="67">
        <v>16</v>
      </c>
      <c r="C1670" s="69" t="s">
        <v>42</v>
      </c>
      <c r="D1670" s="71" t="s">
        <v>43</v>
      </c>
      <c r="E1670" s="70">
        <v>9.5280199999999997</v>
      </c>
      <c r="F1670" s="74">
        <v>0.31330000000000002</v>
      </c>
      <c r="G1670" s="70">
        <v>0.49442000000000003</v>
      </c>
      <c r="H1670" s="74">
        <v>1.6299999999999999E-2</v>
      </c>
    </row>
    <row r="1671" spans="1:8" ht="15.6">
      <c r="A1671" s="468" t="s">
        <v>2099</v>
      </c>
      <c r="B1671" s="67">
        <v>17</v>
      </c>
      <c r="C1671" s="69" t="s">
        <v>42</v>
      </c>
      <c r="D1671" s="71" t="s">
        <v>18</v>
      </c>
      <c r="E1671" s="70">
        <v>11.287929999999999</v>
      </c>
      <c r="F1671" s="74">
        <v>0.37109999999999999</v>
      </c>
      <c r="G1671" s="70">
        <v>0.64261000000000001</v>
      </c>
      <c r="H1671" s="74">
        <v>2.1100000000000001E-2</v>
      </c>
    </row>
    <row r="1672" spans="1:8" ht="15.6">
      <c r="A1672" s="468" t="s">
        <v>2100</v>
      </c>
      <c r="B1672" s="67">
        <v>18</v>
      </c>
      <c r="C1672" s="69" t="s">
        <v>42</v>
      </c>
      <c r="D1672" s="71" t="s">
        <v>76</v>
      </c>
      <c r="E1672" s="70">
        <v>9.5280199999999997</v>
      </c>
      <c r="F1672" s="74">
        <v>0.31330000000000002</v>
      </c>
      <c r="G1672" s="70">
        <v>0.49442000000000003</v>
      </c>
      <c r="H1672" s="74">
        <v>1.6299999999999999E-2</v>
      </c>
    </row>
    <row r="1673" spans="1:8" ht="15.6">
      <c r="A1673" s="468" t="s">
        <v>2101</v>
      </c>
      <c r="B1673" s="67">
        <v>19</v>
      </c>
      <c r="C1673" s="69" t="s">
        <v>42</v>
      </c>
      <c r="D1673" s="71" t="s">
        <v>19</v>
      </c>
      <c r="E1673" s="70">
        <v>20.650480000000002</v>
      </c>
      <c r="F1673" s="74">
        <v>0.67889999999999995</v>
      </c>
      <c r="G1673" s="70">
        <v>1.4308099999999999</v>
      </c>
      <c r="H1673" s="74">
        <v>4.7E-2</v>
      </c>
    </row>
    <row r="1674" spans="1:8" ht="15.6">
      <c r="A1674" s="468" t="s">
        <v>2102</v>
      </c>
      <c r="B1674" s="67">
        <v>20</v>
      </c>
      <c r="C1674" s="69" t="s">
        <v>42</v>
      </c>
      <c r="D1674" s="71" t="s">
        <v>23</v>
      </c>
      <c r="E1674" s="70">
        <v>16.875779999999999</v>
      </c>
      <c r="F1674" s="74">
        <v>0.55479999999999996</v>
      </c>
      <c r="G1674" s="70">
        <v>1.11303</v>
      </c>
      <c r="H1674" s="74">
        <v>3.6600000000000001E-2</v>
      </c>
    </row>
    <row r="1675" spans="1:8" ht="15.6">
      <c r="A1675" s="468" t="s">
        <v>2103</v>
      </c>
      <c r="B1675" s="67">
        <v>21</v>
      </c>
      <c r="C1675" s="69" t="s">
        <v>42</v>
      </c>
      <c r="D1675" s="71" t="s">
        <v>20</v>
      </c>
      <c r="E1675" s="70">
        <v>24.960830000000001</v>
      </c>
      <c r="F1675" s="74">
        <v>0.8206</v>
      </c>
      <c r="G1675" s="70">
        <v>1.79366</v>
      </c>
      <c r="H1675" s="74">
        <v>5.8999999999999997E-2</v>
      </c>
    </row>
    <row r="1676" spans="1:8" ht="15.6">
      <c r="A1676" s="468" t="s">
        <v>2104</v>
      </c>
      <c r="B1676" s="67">
        <v>22</v>
      </c>
      <c r="C1676" s="69" t="s">
        <v>42</v>
      </c>
      <c r="D1676" s="71" t="s">
        <v>53</v>
      </c>
      <c r="E1676" s="70">
        <v>4.0423799999999996</v>
      </c>
      <c r="F1676" s="74">
        <v>0.13289999999999999</v>
      </c>
      <c r="G1676" s="70">
        <v>3.261E-2</v>
      </c>
      <c r="H1676" s="74">
        <v>1.1000000000000001E-3</v>
      </c>
    </row>
    <row r="1677" spans="1:8" ht="15.6">
      <c r="A1677" s="468" t="s">
        <v>2105</v>
      </c>
      <c r="B1677" s="67">
        <v>23</v>
      </c>
      <c r="C1677" s="69" t="s">
        <v>42</v>
      </c>
      <c r="D1677" s="71" t="s">
        <v>41</v>
      </c>
      <c r="E1677" s="70">
        <v>4.1287599999999998</v>
      </c>
      <c r="F1677" s="74">
        <v>0.13569999999999999</v>
      </c>
      <c r="G1677" s="70">
        <v>3.9919999999999997E-2</v>
      </c>
      <c r="H1677" s="74">
        <v>1.2999999999999999E-3</v>
      </c>
    </row>
    <row r="1678" spans="1:8" ht="15.6">
      <c r="A1678" s="468" t="s">
        <v>2106</v>
      </c>
      <c r="B1678" s="67">
        <v>24</v>
      </c>
      <c r="C1678" s="69" t="s">
        <v>42</v>
      </c>
      <c r="D1678" s="71" t="s">
        <v>36</v>
      </c>
      <c r="E1678" s="70">
        <v>11.35454</v>
      </c>
      <c r="F1678" s="74">
        <v>0.37330000000000002</v>
      </c>
      <c r="G1678" s="70">
        <v>0.64822000000000002</v>
      </c>
      <c r="H1678" s="74">
        <v>2.1299999999999999E-2</v>
      </c>
    </row>
    <row r="1679" spans="1:8" ht="15.6">
      <c r="A1679" s="468" t="s">
        <v>2107</v>
      </c>
      <c r="B1679" s="67">
        <v>25</v>
      </c>
      <c r="C1679" s="69" t="s">
        <v>42</v>
      </c>
      <c r="D1679" s="71" t="s">
        <v>15</v>
      </c>
      <c r="E1679" s="70">
        <v>20.87405</v>
      </c>
      <c r="F1679" s="74">
        <v>0.68630000000000002</v>
      </c>
      <c r="G1679" s="70">
        <v>1.4496199999999999</v>
      </c>
      <c r="H1679" s="74">
        <v>4.7699999999999999E-2</v>
      </c>
    </row>
    <row r="1680" spans="1:8" ht="15.6">
      <c r="A1680" s="468" t="s">
        <v>2108</v>
      </c>
      <c r="B1680" s="67">
        <v>26</v>
      </c>
      <c r="C1680" s="69" t="s">
        <v>42</v>
      </c>
      <c r="D1680" s="71" t="s">
        <v>16</v>
      </c>
      <c r="E1680" s="70">
        <v>29.486830000000001</v>
      </c>
      <c r="F1680" s="74">
        <v>0.96940000000000004</v>
      </c>
      <c r="G1680" s="70">
        <v>2.1746799999999999</v>
      </c>
      <c r="H1680" s="74">
        <v>7.1499999999999994E-2</v>
      </c>
    </row>
    <row r="1681" spans="1:8" ht="15.6">
      <c r="A1681" s="468" t="s">
        <v>2109</v>
      </c>
      <c r="B1681" s="67">
        <v>27</v>
      </c>
      <c r="C1681" s="69" t="s">
        <v>42</v>
      </c>
      <c r="D1681" s="71" t="s">
        <v>17</v>
      </c>
      <c r="E1681" s="70">
        <v>42.486910000000002</v>
      </c>
      <c r="F1681" s="74">
        <v>1.3968</v>
      </c>
      <c r="G1681" s="70">
        <v>3.2690999999999999</v>
      </c>
      <c r="H1681" s="74">
        <v>0.1075</v>
      </c>
    </row>
    <row r="1682" spans="1:8" ht="15.6">
      <c r="A1682" s="468" t="s">
        <v>2110</v>
      </c>
      <c r="B1682" s="67">
        <v>28</v>
      </c>
      <c r="C1682" s="69" t="s">
        <v>42</v>
      </c>
      <c r="D1682" s="71" t="s">
        <v>10</v>
      </c>
      <c r="E1682" s="70">
        <v>42.486910000000002</v>
      </c>
      <c r="F1682" s="74">
        <v>1.3968</v>
      </c>
      <c r="G1682" s="70">
        <v>3.2690999999999999</v>
      </c>
      <c r="H1682" s="74">
        <v>0.1075</v>
      </c>
    </row>
    <row r="1683" spans="1:8" ht="15.6">
      <c r="A1683" s="468" t="s">
        <v>2111</v>
      </c>
      <c r="B1683" s="67">
        <v>29</v>
      </c>
      <c r="C1683" s="69" t="s">
        <v>42</v>
      </c>
      <c r="D1683" s="71" t="s">
        <v>22</v>
      </c>
      <c r="E1683" s="70">
        <v>19.849920000000001</v>
      </c>
      <c r="F1683" s="74">
        <v>0.65259999999999996</v>
      </c>
      <c r="G1683" s="70">
        <v>1.3633900000000001</v>
      </c>
      <c r="H1683" s="74">
        <v>4.48E-2</v>
      </c>
    </row>
    <row r="1684" spans="1:8" ht="15.6">
      <c r="A1684" s="468" t="s">
        <v>2112</v>
      </c>
      <c r="B1684" s="67">
        <v>30</v>
      </c>
      <c r="C1684" s="69" t="s">
        <v>42</v>
      </c>
      <c r="D1684" s="71" t="s">
        <v>35</v>
      </c>
      <c r="E1684" s="70">
        <v>8.6042699999999996</v>
      </c>
      <c r="F1684" s="74">
        <v>0.28289999999999998</v>
      </c>
      <c r="G1684" s="70">
        <v>0.41665000000000002</v>
      </c>
      <c r="H1684" s="74">
        <v>1.37E-2</v>
      </c>
    </row>
    <row r="1685" spans="1:8" ht="15.6">
      <c r="A1685" s="468" t="s">
        <v>2113</v>
      </c>
      <c r="B1685" s="67">
        <v>31</v>
      </c>
      <c r="C1685" s="69" t="s">
        <v>42</v>
      </c>
      <c r="D1685" s="71" t="s">
        <v>24</v>
      </c>
      <c r="E1685" s="70">
        <v>24.588830000000002</v>
      </c>
      <c r="F1685" s="74">
        <v>0.80840000000000001</v>
      </c>
      <c r="G1685" s="70">
        <v>1.7623500000000001</v>
      </c>
      <c r="H1685" s="74">
        <v>5.79E-2</v>
      </c>
    </row>
    <row r="1686" spans="1:8" ht="15.6">
      <c r="A1686" s="468" t="s">
        <v>2114</v>
      </c>
      <c r="B1686" s="67">
        <v>32</v>
      </c>
      <c r="C1686" s="69" t="s">
        <v>42</v>
      </c>
      <c r="D1686" s="71" t="s">
        <v>37</v>
      </c>
      <c r="E1686" s="70">
        <v>11.29705</v>
      </c>
      <c r="F1686" s="74">
        <v>0.37140000000000001</v>
      </c>
      <c r="G1686" s="70">
        <v>0.64336000000000004</v>
      </c>
      <c r="H1686" s="74">
        <v>2.12E-2</v>
      </c>
    </row>
    <row r="1687" spans="1:8" ht="15.6">
      <c r="A1687" s="468" t="s">
        <v>2115</v>
      </c>
      <c r="B1687" s="67">
        <v>33</v>
      </c>
      <c r="C1687" s="69" t="s">
        <v>42</v>
      </c>
      <c r="D1687" s="71" t="s">
        <v>38</v>
      </c>
      <c r="E1687" s="70">
        <v>18.219580000000001</v>
      </c>
      <c r="F1687" s="74">
        <v>0.59899999999999998</v>
      </c>
      <c r="G1687" s="70">
        <v>1.22614</v>
      </c>
      <c r="H1687" s="74">
        <v>4.0300000000000002E-2</v>
      </c>
    </row>
    <row r="1688" spans="1:8" ht="15.6">
      <c r="A1688" s="468" t="s">
        <v>2116</v>
      </c>
      <c r="B1688" s="67">
        <v>34</v>
      </c>
      <c r="C1688" s="69" t="s">
        <v>42</v>
      </c>
      <c r="D1688" s="71" t="s">
        <v>26</v>
      </c>
      <c r="E1688" s="70">
        <v>25.011019999999998</v>
      </c>
      <c r="F1688" s="74">
        <v>0.82230000000000003</v>
      </c>
      <c r="G1688" s="70">
        <v>1.79789</v>
      </c>
      <c r="H1688" s="74">
        <v>5.91E-2</v>
      </c>
    </row>
    <row r="1689" spans="1:8" ht="15.6">
      <c r="A1689" s="468" t="s">
        <v>2117</v>
      </c>
      <c r="B1689" s="67">
        <v>35</v>
      </c>
      <c r="C1689" s="69" t="s">
        <v>42</v>
      </c>
      <c r="D1689" s="71" t="s">
        <v>52</v>
      </c>
      <c r="E1689" s="70">
        <v>45.918219999999998</v>
      </c>
      <c r="F1689" s="74">
        <v>1.5096000000000001</v>
      </c>
      <c r="G1689" s="70">
        <v>3.55796</v>
      </c>
      <c r="H1689" s="74">
        <v>0.11700000000000001</v>
      </c>
    </row>
    <row r="1690" spans="1:8" ht="15.6">
      <c r="A1690" s="468" t="s">
        <v>2118</v>
      </c>
      <c r="B1690" s="67">
        <v>36</v>
      </c>
      <c r="C1690" s="69" t="s">
        <v>42</v>
      </c>
      <c r="D1690" s="71" t="s">
        <v>40</v>
      </c>
      <c r="E1690" s="70">
        <v>4.6181599999999996</v>
      </c>
      <c r="F1690" s="74">
        <v>0.15179999999999999</v>
      </c>
      <c r="G1690" s="70">
        <v>8.1119999999999998E-2</v>
      </c>
      <c r="H1690" s="74">
        <v>2.7000000000000001E-3</v>
      </c>
    </row>
    <row r="1691" spans="1:8" ht="15.6">
      <c r="A1691" s="468" t="s">
        <v>2119</v>
      </c>
      <c r="B1691" s="67">
        <v>37</v>
      </c>
      <c r="C1691" s="69" t="s">
        <v>42</v>
      </c>
      <c r="D1691" s="71" t="s">
        <v>34</v>
      </c>
      <c r="E1691" s="70">
        <v>52.44229</v>
      </c>
      <c r="F1691" s="74">
        <v>1.7241</v>
      </c>
      <c r="G1691" s="70">
        <v>4.1072100000000002</v>
      </c>
      <c r="H1691" s="74">
        <v>0.13500000000000001</v>
      </c>
    </row>
    <row r="1692" spans="1:8" ht="15.6">
      <c r="A1692" s="468" t="s">
        <v>2120</v>
      </c>
      <c r="B1692" s="67">
        <v>38</v>
      </c>
      <c r="C1692" s="69" t="s">
        <v>42</v>
      </c>
      <c r="D1692" s="71" t="s">
        <v>54</v>
      </c>
      <c r="E1692" s="70">
        <v>4.0423799999999996</v>
      </c>
      <c r="F1692" s="74">
        <v>0.13289999999999999</v>
      </c>
      <c r="G1692" s="70">
        <v>3.261E-2</v>
      </c>
      <c r="H1692" s="74">
        <v>1.1000000000000001E-3</v>
      </c>
    </row>
    <row r="1693" spans="1:8" ht="15.6">
      <c r="A1693" s="468" t="s">
        <v>2121</v>
      </c>
      <c r="B1693" s="67">
        <v>39</v>
      </c>
      <c r="C1693" s="69" t="s">
        <v>29</v>
      </c>
      <c r="D1693" s="71" t="s">
        <v>12</v>
      </c>
      <c r="E1693" s="70" t="s">
        <v>286</v>
      </c>
      <c r="F1693" s="74">
        <v>2.5655999999999999</v>
      </c>
      <c r="G1693" s="70" t="s">
        <v>286</v>
      </c>
      <c r="H1693" s="74">
        <v>0.2059</v>
      </c>
    </row>
    <row r="1694" spans="1:8" ht="15.6">
      <c r="A1694" s="468" t="s">
        <v>2122</v>
      </c>
      <c r="B1694" s="67">
        <v>40</v>
      </c>
      <c r="C1694" s="69" t="s">
        <v>29</v>
      </c>
      <c r="D1694" s="71" t="s">
        <v>51</v>
      </c>
      <c r="E1694" s="70" t="s">
        <v>286</v>
      </c>
      <c r="F1694" s="74">
        <v>2.2208000000000001</v>
      </c>
      <c r="G1694" s="70" t="s">
        <v>286</v>
      </c>
      <c r="H1694" s="74">
        <v>0.17680000000000001</v>
      </c>
    </row>
    <row r="1695" spans="1:8" ht="15.6">
      <c r="A1695" s="468" t="s">
        <v>2123</v>
      </c>
      <c r="B1695" s="67">
        <v>41</v>
      </c>
      <c r="C1695" s="69" t="s">
        <v>29</v>
      </c>
      <c r="D1695" s="71" t="s">
        <v>13</v>
      </c>
      <c r="E1695" s="70" t="s">
        <v>286</v>
      </c>
      <c r="F1695" s="74">
        <v>2.0794999999999999</v>
      </c>
      <c r="G1695" s="70" t="s">
        <v>286</v>
      </c>
      <c r="H1695" s="74">
        <v>0.16500000000000001</v>
      </c>
    </row>
    <row r="1696" spans="1:8" ht="15.6">
      <c r="A1696" s="468" t="s">
        <v>2124</v>
      </c>
      <c r="B1696" s="67">
        <v>42</v>
      </c>
      <c r="C1696" s="69" t="s">
        <v>29</v>
      </c>
      <c r="D1696" s="71" t="s">
        <v>9</v>
      </c>
      <c r="E1696" s="70" t="s">
        <v>286</v>
      </c>
      <c r="F1696" s="74">
        <v>1.8657999999999999</v>
      </c>
      <c r="G1696" s="70" t="s">
        <v>286</v>
      </c>
      <c r="H1696" s="74">
        <v>0.14699999999999999</v>
      </c>
    </row>
    <row r="1697" spans="1:8" ht="15.6">
      <c r="A1697" s="468" t="s">
        <v>2125</v>
      </c>
      <c r="B1697" s="67">
        <v>43</v>
      </c>
      <c r="C1697" s="69" t="s">
        <v>29</v>
      </c>
      <c r="D1697" s="71" t="s">
        <v>14</v>
      </c>
      <c r="E1697" s="70" t="s">
        <v>286</v>
      </c>
      <c r="F1697" s="74">
        <v>1.7718</v>
      </c>
      <c r="G1697" s="70" t="s">
        <v>286</v>
      </c>
      <c r="H1697" s="74">
        <v>0.13900000000000001</v>
      </c>
    </row>
    <row r="1698" spans="1:8" ht="15.6">
      <c r="A1698" s="468" t="s">
        <v>2126</v>
      </c>
      <c r="B1698" s="67">
        <v>44</v>
      </c>
      <c r="C1698" s="69" t="s">
        <v>29</v>
      </c>
      <c r="D1698" s="71" t="s">
        <v>33</v>
      </c>
      <c r="E1698" s="70" t="s">
        <v>286</v>
      </c>
      <c r="F1698" s="74">
        <v>1.4034</v>
      </c>
      <c r="G1698" s="70" t="s">
        <v>286</v>
      </c>
      <c r="H1698" s="74">
        <v>0.108</v>
      </c>
    </row>
    <row r="1699" spans="1:8" ht="15.6">
      <c r="A1699" s="468" t="s">
        <v>2127</v>
      </c>
      <c r="B1699" s="67">
        <v>45</v>
      </c>
      <c r="C1699" s="69" t="s">
        <v>29</v>
      </c>
      <c r="D1699" s="71" t="s">
        <v>25</v>
      </c>
      <c r="E1699" s="70" t="s">
        <v>286</v>
      </c>
      <c r="F1699" s="74">
        <v>1.2522</v>
      </c>
      <c r="G1699" s="70" t="s">
        <v>286</v>
      </c>
      <c r="H1699" s="74">
        <v>9.5299999999999996E-2</v>
      </c>
    </row>
    <row r="1700" spans="1:8" ht="15.6">
      <c r="A1700" s="468" t="s">
        <v>2128</v>
      </c>
      <c r="B1700" s="67">
        <v>46</v>
      </c>
      <c r="C1700" s="69" t="s">
        <v>29</v>
      </c>
      <c r="D1700" s="71" t="s">
        <v>31</v>
      </c>
      <c r="E1700" s="70" t="s">
        <v>286</v>
      </c>
      <c r="F1700" s="74">
        <v>0.6542</v>
      </c>
      <c r="G1700" s="70" t="s">
        <v>286</v>
      </c>
      <c r="H1700" s="74">
        <v>4.4999999999999998E-2</v>
      </c>
    </row>
    <row r="1701" spans="1:8" ht="15.6">
      <c r="A1701" s="468" t="s">
        <v>2129</v>
      </c>
      <c r="B1701" s="67">
        <v>47</v>
      </c>
      <c r="C1701" s="69" t="s">
        <v>29</v>
      </c>
      <c r="D1701" s="71" t="s">
        <v>45</v>
      </c>
      <c r="E1701" s="70" t="s">
        <v>286</v>
      </c>
      <c r="F1701" s="74">
        <v>0.98929999999999996</v>
      </c>
      <c r="G1701" s="70" t="s">
        <v>286</v>
      </c>
      <c r="H1701" s="74">
        <v>7.3200000000000001E-2</v>
      </c>
    </row>
    <row r="1702" spans="1:8" ht="15.6">
      <c r="A1702" s="468" t="s">
        <v>2130</v>
      </c>
      <c r="B1702" s="67">
        <v>48</v>
      </c>
      <c r="C1702" s="69" t="s">
        <v>29</v>
      </c>
      <c r="D1702" s="71" t="s">
        <v>27</v>
      </c>
      <c r="E1702" s="70" t="s">
        <v>286</v>
      </c>
      <c r="F1702" s="74">
        <v>0.7823</v>
      </c>
      <c r="G1702" s="70" t="s">
        <v>286</v>
      </c>
      <c r="H1702" s="74">
        <v>5.57E-2</v>
      </c>
    </row>
    <row r="1703" spans="1:8" ht="15.6">
      <c r="A1703" s="468" t="s">
        <v>2131</v>
      </c>
      <c r="B1703" s="67">
        <v>49</v>
      </c>
      <c r="C1703" s="69" t="s">
        <v>29</v>
      </c>
      <c r="D1703" s="71" t="s">
        <v>21</v>
      </c>
      <c r="E1703" s="70" t="s">
        <v>286</v>
      </c>
      <c r="F1703" s="74">
        <v>0.62849999999999995</v>
      </c>
      <c r="G1703" s="70" t="s">
        <v>286</v>
      </c>
      <c r="H1703" s="74">
        <v>4.2799999999999998E-2</v>
      </c>
    </row>
    <row r="1704" spans="1:8" ht="15.6">
      <c r="A1704" s="468" t="s">
        <v>2132</v>
      </c>
      <c r="B1704" s="67">
        <v>50</v>
      </c>
      <c r="C1704" s="69" t="s">
        <v>29</v>
      </c>
      <c r="D1704" s="71" t="s">
        <v>32</v>
      </c>
      <c r="E1704" s="70" t="s">
        <v>286</v>
      </c>
      <c r="F1704" s="74">
        <v>1.0533999999999999</v>
      </c>
      <c r="G1704" s="70" t="s">
        <v>286</v>
      </c>
      <c r="H1704" s="74">
        <v>7.8600000000000003E-2</v>
      </c>
    </row>
    <row r="1705" spans="1:8" ht="15.6">
      <c r="A1705" s="468" t="s">
        <v>2133</v>
      </c>
      <c r="B1705" s="67">
        <v>51</v>
      </c>
      <c r="C1705" s="69" t="s">
        <v>29</v>
      </c>
      <c r="D1705" s="71" t="s">
        <v>30</v>
      </c>
      <c r="E1705" s="70" t="s">
        <v>286</v>
      </c>
      <c r="F1705" s="74">
        <v>0.4582</v>
      </c>
      <c r="G1705" s="70" t="s">
        <v>286</v>
      </c>
      <c r="H1705" s="74">
        <v>2.8500000000000001E-2</v>
      </c>
    </row>
    <row r="1706" spans="1:8" ht="15.6">
      <c r="A1706" s="468" t="s">
        <v>2134</v>
      </c>
      <c r="B1706" s="67">
        <v>52</v>
      </c>
      <c r="C1706" s="69" t="s">
        <v>29</v>
      </c>
      <c r="D1706" s="71" t="s">
        <v>28</v>
      </c>
      <c r="E1706" s="70" t="s">
        <v>286</v>
      </c>
      <c r="F1706" s="74">
        <v>0.43780000000000002</v>
      </c>
      <c r="G1706" s="70" t="s">
        <v>286</v>
      </c>
      <c r="H1706" s="74">
        <v>2.6700000000000002E-2</v>
      </c>
    </row>
    <row r="1707" spans="1:8" ht="15.6">
      <c r="A1707" s="468" t="s">
        <v>2135</v>
      </c>
      <c r="B1707" s="67">
        <v>53</v>
      </c>
      <c r="C1707" s="69" t="s">
        <v>29</v>
      </c>
      <c r="D1707" s="71" t="s">
        <v>79</v>
      </c>
      <c r="E1707" s="70" t="s">
        <v>286</v>
      </c>
      <c r="F1707" s="74">
        <v>0.39850000000000002</v>
      </c>
      <c r="G1707" s="70" t="s">
        <v>286</v>
      </c>
      <c r="H1707" s="74">
        <v>2.3400000000000001E-2</v>
      </c>
    </row>
    <row r="1708" spans="1:8" ht="15.6">
      <c r="A1708" s="468" t="s">
        <v>2136</v>
      </c>
      <c r="B1708" s="67">
        <v>54</v>
      </c>
      <c r="C1708" s="69" t="s">
        <v>29</v>
      </c>
      <c r="D1708" s="71" t="s">
        <v>29</v>
      </c>
      <c r="E1708" s="70" t="s">
        <v>286</v>
      </c>
      <c r="F1708" s="74">
        <v>0.13289999999999999</v>
      </c>
      <c r="G1708" s="70" t="s">
        <v>286</v>
      </c>
      <c r="H1708" s="74">
        <v>1.1000000000000001E-3</v>
      </c>
    </row>
    <row r="1709" spans="1:8" ht="15.6">
      <c r="A1709" s="468" t="s">
        <v>2137</v>
      </c>
      <c r="B1709" s="67">
        <v>55</v>
      </c>
      <c r="C1709" s="69" t="s">
        <v>29</v>
      </c>
      <c r="D1709" s="71" t="s">
        <v>43</v>
      </c>
      <c r="E1709" s="70" t="s">
        <v>286</v>
      </c>
      <c r="F1709" s="74">
        <v>0.38929999999999998</v>
      </c>
      <c r="G1709" s="70" t="s">
        <v>286</v>
      </c>
      <c r="H1709" s="74">
        <v>2.2700000000000001E-2</v>
      </c>
    </row>
    <row r="1710" spans="1:8" ht="15.6">
      <c r="A1710" s="468" t="s">
        <v>2138</v>
      </c>
      <c r="B1710" s="67">
        <v>56</v>
      </c>
      <c r="C1710" s="69" t="s">
        <v>29</v>
      </c>
      <c r="D1710" s="71" t="s">
        <v>18</v>
      </c>
      <c r="E1710" s="70" t="s">
        <v>286</v>
      </c>
      <c r="F1710" s="74">
        <v>0.36559999999999998</v>
      </c>
      <c r="G1710" s="70" t="s">
        <v>286</v>
      </c>
      <c r="H1710" s="74">
        <v>2.07E-2</v>
      </c>
    </row>
    <row r="1711" spans="1:8" ht="15.6">
      <c r="A1711" s="468" t="s">
        <v>2139</v>
      </c>
      <c r="B1711" s="67">
        <v>57</v>
      </c>
      <c r="C1711" s="69" t="s">
        <v>29</v>
      </c>
      <c r="D1711" s="71" t="s">
        <v>76</v>
      </c>
      <c r="E1711" s="70" t="s">
        <v>286</v>
      </c>
      <c r="F1711" s="74">
        <v>0.38929999999999998</v>
      </c>
      <c r="G1711" s="70" t="s">
        <v>286</v>
      </c>
      <c r="H1711" s="74">
        <v>2.2700000000000001E-2</v>
      </c>
    </row>
    <row r="1712" spans="1:8" ht="15.6">
      <c r="A1712" s="468" t="s">
        <v>2140</v>
      </c>
      <c r="B1712" s="67">
        <v>58</v>
      </c>
      <c r="C1712" s="69" t="s">
        <v>29</v>
      </c>
      <c r="D1712" s="71" t="s">
        <v>19</v>
      </c>
      <c r="E1712" s="70" t="s">
        <v>286</v>
      </c>
      <c r="F1712" s="74">
        <v>0.27329999999999999</v>
      </c>
      <c r="G1712" s="70" t="s">
        <v>286</v>
      </c>
      <c r="H1712" s="74">
        <v>1.29E-2</v>
      </c>
    </row>
    <row r="1713" spans="1:8" ht="15.6">
      <c r="A1713" s="468" t="s">
        <v>2141</v>
      </c>
      <c r="B1713" s="67">
        <v>59</v>
      </c>
      <c r="C1713" s="69" t="s">
        <v>29</v>
      </c>
      <c r="D1713" s="71" t="s">
        <v>23</v>
      </c>
      <c r="E1713" s="70" t="s">
        <v>286</v>
      </c>
      <c r="F1713" s="74">
        <v>0.1971</v>
      </c>
      <c r="G1713" s="70" t="s">
        <v>286</v>
      </c>
      <c r="H1713" s="74">
        <v>6.4999999999999997E-3</v>
      </c>
    </row>
    <row r="1714" spans="1:8" ht="15.6">
      <c r="A1714" s="468" t="s">
        <v>2142</v>
      </c>
      <c r="B1714" s="67">
        <v>60</v>
      </c>
      <c r="C1714" s="69" t="s">
        <v>29</v>
      </c>
      <c r="D1714" s="71" t="s">
        <v>20</v>
      </c>
      <c r="E1714" s="70" t="s">
        <v>286</v>
      </c>
      <c r="F1714" s="74">
        <v>0.38479999999999998</v>
      </c>
      <c r="G1714" s="70" t="s">
        <v>286</v>
      </c>
      <c r="H1714" s="74">
        <v>2.23E-2</v>
      </c>
    </row>
    <row r="1715" spans="1:8" ht="15.6">
      <c r="A1715" s="468" t="s">
        <v>2143</v>
      </c>
      <c r="B1715" s="67">
        <v>61</v>
      </c>
      <c r="C1715" s="69" t="s">
        <v>29</v>
      </c>
      <c r="D1715" s="71" t="s">
        <v>53</v>
      </c>
      <c r="E1715" s="70" t="s">
        <v>286</v>
      </c>
      <c r="F1715" s="74">
        <v>0.56969999999999998</v>
      </c>
      <c r="G1715" s="70" t="s">
        <v>286</v>
      </c>
      <c r="H1715" s="74">
        <v>3.78E-2</v>
      </c>
    </row>
    <row r="1716" spans="1:8" ht="15.6">
      <c r="A1716" s="468" t="s">
        <v>2144</v>
      </c>
      <c r="B1716" s="67">
        <v>62</v>
      </c>
      <c r="C1716" s="69" t="s">
        <v>29</v>
      </c>
      <c r="D1716" s="71" t="s">
        <v>41</v>
      </c>
      <c r="E1716" s="70" t="s">
        <v>286</v>
      </c>
      <c r="F1716" s="74">
        <v>0.57250000000000001</v>
      </c>
      <c r="G1716" s="70" t="s">
        <v>286</v>
      </c>
      <c r="H1716" s="74">
        <v>3.8100000000000002E-2</v>
      </c>
    </row>
    <row r="1717" spans="1:8" ht="15.6">
      <c r="A1717" s="468" t="s">
        <v>2145</v>
      </c>
      <c r="B1717" s="67">
        <v>63</v>
      </c>
      <c r="C1717" s="69" t="s">
        <v>29</v>
      </c>
      <c r="D1717" s="71" t="s">
        <v>36</v>
      </c>
      <c r="E1717" s="70" t="s">
        <v>286</v>
      </c>
      <c r="F1717" s="74">
        <v>0.49669999999999997</v>
      </c>
      <c r="G1717" s="70" t="s">
        <v>286</v>
      </c>
      <c r="H1717" s="74">
        <v>3.1699999999999999E-2</v>
      </c>
    </row>
    <row r="1718" spans="1:8" ht="15.6">
      <c r="A1718" s="468" t="s">
        <v>2146</v>
      </c>
      <c r="B1718" s="67">
        <v>64</v>
      </c>
      <c r="C1718" s="69" t="s">
        <v>29</v>
      </c>
      <c r="D1718" s="71" t="s">
        <v>15</v>
      </c>
      <c r="E1718" s="70" t="s">
        <v>286</v>
      </c>
      <c r="F1718" s="74">
        <v>0.25080000000000002</v>
      </c>
      <c r="G1718" s="70" t="s">
        <v>286</v>
      </c>
      <c r="H1718" s="74">
        <v>1.0999999999999999E-2</v>
      </c>
    </row>
    <row r="1719" spans="1:8" ht="15.6">
      <c r="A1719" s="468" t="s">
        <v>2147</v>
      </c>
      <c r="B1719" s="67">
        <v>65</v>
      </c>
      <c r="C1719" s="69" t="s">
        <v>29</v>
      </c>
      <c r="D1719" s="71" t="s">
        <v>16</v>
      </c>
      <c r="E1719" s="70" t="s">
        <v>286</v>
      </c>
      <c r="F1719" s="74">
        <v>0.53400000000000003</v>
      </c>
      <c r="G1719" s="70" t="s">
        <v>286</v>
      </c>
      <c r="H1719" s="74">
        <v>3.4799999999999998E-2</v>
      </c>
    </row>
    <row r="1720" spans="1:8" ht="15.6">
      <c r="A1720" s="468" t="s">
        <v>2148</v>
      </c>
      <c r="B1720" s="67">
        <v>66</v>
      </c>
      <c r="C1720" s="69" t="s">
        <v>29</v>
      </c>
      <c r="D1720" s="71" t="s">
        <v>17</v>
      </c>
      <c r="E1720" s="70" t="s">
        <v>286</v>
      </c>
      <c r="F1720" s="74">
        <v>1.8103</v>
      </c>
      <c r="G1720" s="70" t="s">
        <v>286</v>
      </c>
      <c r="H1720" s="74">
        <v>0.14230000000000001</v>
      </c>
    </row>
    <row r="1721" spans="1:8" ht="15.6">
      <c r="A1721" s="468" t="s">
        <v>2149</v>
      </c>
      <c r="B1721" s="67">
        <v>67</v>
      </c>
      <c r="C1721" s="69" t="s">
        <v>29</v>
      </c>
      <c r="D1721" s="71" t="s">
        <v>10</v>
      </c>
      <c r="E1721" s="70" t="s">
        <v>286</v>
      </c>
      <c r="F1721" s="74">
        <v>1.8103</v>
      </c>
      <c r="G1721" s="70" t="s">
        <v>286</v>
      </c>
      <c r="H1721" s="74">
        <v>0.14230000000000001</v>
      </c>
    </row>
    <row r="1722" spans="1:8" ht="15.6">
      <c r="A1722" s="468" t="s">
        <v>2150</v>
      </c>
      <c r="B1722" s="67">
        <v>68</v>
      </c>
      <c r="C1722" s="69" t="s">
        <v>29</v>
      </c>
      <c r="D1722" s="71" t="s">
        <v>22</v>
      </c>
      <c r="E1722" s="70" t="s">
        <v>286</v>
      </c>
      <c r="F1722" s="74">
        <v>0.22220000000000001</v>
      </c>
      <c r="G1722" s="70" t="s">
        <v>286</v>
      </c>
      <c r="H1722" s="74">
        <v>8.6E-3</v>
      </c>
    </row>
    <row r="1723" spans="1:8" ht="15.6">
      <c r="A1723" s="468" t="s">
        <v>2151</v>
      </c>
      <c r="B1723" s="67">
        <v>69</v>
      </c>
      <c r="C1723" s="69" t="s">
        <v>29</v>
      </c>
      <c r="D1723" s="71" t="s">
        <v>35</v>
      </c>
      <c r="E1723" s="70" t="s">
        <v>286</v>
      </c>
      <c r="F1723" s="74">
        <v>0.41970000000000002</v>
      </c>
      <c r="G1723" s="70" t="s">
        <v>286</v>
      </c>
      <c r="H1723" s="74">
        <v>2.52E-2</v>
      </c>
    </row>
    <row r="1724" spans="1:8" ht="15.6">
      <c r="A1724" s="468" t="s">
        <v>2152</v>
      </c>
      <c r="B1724" s="67">
        <v>70</v>
      </c>
      <c r="C1724" s="69" t="s">
        <v>29</v>
      </c>
      <c r="D1724" s="71" t="s">
        <v>24</v>
      </c>
      <c r="E1724" s="70" t="s">
        <v>286</v>
      </c>
      <c r="F1724" s="74">
        <v>0.373</v>
      </c>
      <c r="G1724" s="70" t="s">
        <v>286</v>
      </c>
      <c r="H1724" s="74">
        <v>2.1299999999999999E-2</v>
      </c>
    </row>
    <row r="1725" spans="1:8" ht="15.6">
      <c r="A1725" s="468" t="s">
        <v>2153</v>
      </c>
      <c r="B1725" s="67">
        <v>71</v>
      </c>
      <c r="C1725" s="69" t="s">
        <v>29</v>
      </c>
      <c r="D1725" s="71" t="s">
        <v>37</v>
      </c>
      <c r="E1725" s="70" t="s">
        <v>286</v>
      </c>
      <c r="F1725" s="74">
        <v>0.49480000000000002</v>
      </c>
      <c r="G1725" s="70" t="s">
        <v>286</v>
      </c>
      <c r="H1725" s="74">
        <v>3.15E-2</v>
      </c>
    </row>
    <row r="1726" spans="1:8" ht="15.6">
      <c r="A1726" s="468" t="s">
        <v>2154</v>
      </c>
      <c r="B1726" s="67">
        <v>72</v>
      </c>
      <c r="C1726" s="69" t="s">
        <v>29</v>
      </c>
      <c r="D1726" s="71" t="s">
        <v>38</v>
      </c>
      <c r="E1726" s="70" t="s">
        <v>286</v>
      </c>
      <c r="F1726" s="74">
        <v>0.51629999999999998</v>
      </c>
      <c r="G1726" s="70" t="s">
        <v>286</v>
      </c>
      <c r="H1726" s="74">
        <v>3.3399999999999999E-2</v>
      </c>
    </row>
    <row r="1727" spans="1:8" ht="15.6">
      <c r="A1727" s="468" t="s">
        <v>2155</v>
      </c>
      <c r="B1727" s="67">
        <v>73</v>
      </c>
      <c r="C1727" s="69" t="s">
        <v>29</v>
      </c>
      <c r="D1727" s="71" t="s">
        <v>26</v>
      </c>
      <c r="E1727" s="70" t="s">
        <v>286</v>
      </c>
      <c r="F1727" s="74">
        <v>0.38679999999999998</v>
      </c>
      <c r="G1727" s="70" t="s">
        <v>286</v>
      </c>
      <c r="H1727" s="74">
        <v>2.2499999999999999E-2</v>
      </c>
    </row>
    <row r="1728" spans="1:8" ht="15.6">
      <c r="A1728" s="468" t="s">
        <v>2156</v>
      </c>
      <c r="B1728" s="67">
        <v>74</v>
      </c>
      <c r="C1728" s="69" t="s">
        <v>29</v>
      </c>
      <c r="D1728" s="71" t="s">
        <v>52</v>
      </c>
      <c r="E1728" s="70" t="s">
        <v>286</v>
      </c>
      <c r="F1728" s="74">
        <v>1.7718</v>
      </c>
      <c r="G1728" s="70" t="s">
        <v>286</v>
      </c>
      <c r="H1728" s="74">
        <v>0.13900000000000001</v>
      </c>
    </row>
    <row r="1729" spans="1:8" ht="15.6">
      <c r="A1729" s="468" t="s">
        <v>2157</v>
      </c>
      <c r="B1729" s="67">
        <v>75</v>
      </c>
      <c r="C1729" s="69" t="s">
        <v>29</v>
      </c>
      <c r="D1729" s="71" t="s">
        <v>40</v>
      </c>
      <c r="E1729" s="70" t="s">
        <v>286</v>
      </c>
      <c r="F1729" s="74">
        <v>0.58860000000000001</v>
      </c>
      <c r="G1729" s="70" t="s">
        <v>286</v>
      </c>
      <c r="H1729" s="74">
        <v>3.9399999999999998E-2</v>
      </c>
    </row>
    <row r="1730" spans="1:8" ht="15.6">
      <c r="A1730" s="468" t="s">
        <v>2158</v>
      </c>
      <c r="B1730" s="67">
        <v>76</v>
      </c>
      <c r="C1730" s="69" t="s">
        <v>29</v>
      </c>
      <c r="D1730" s="71" t="s">
        <v>34</v>
      </c>
      <c r="E1730" s="70" t="s">
        <v>286</v>
      </c>
      <c r="F1730" s="74">
        <v>2.0794999999999999</v>
      </c>
      <c r="G1730" s="70" t="s">
        <v>286</v>
      </c>
      <c r="H1730" s="74">
        <v>0.16500000000000001</v>
      </c>
    </row>
    <row r="1731" spans="1:8" ht="15.6">
      <c r="A1731" s="468" t="s">
        <v>2159</v>
      </c>
      <c r="B1731" s="67">
        <v>77</v>
      </c>
      <c r="C1731" s="69" t="s">
        <v>29</v>
      </c>
      <c r="D1731" s="71" t="s">
        <v>54</v>
      </c>
      <c r="E1731" s="70" t="s">
        <v>286</v>
      </c>
      <c r="F1731" s="74">
        <v>0.56969999999999998</v>
      </c>
      <c r="G1731" s="70" t="s">
        <v>286</v>
      </c>
      <c r="H1731" s="74">
        <v>3.78E-2</v>
      </c>
    </row>
    <row r="1732" spans="1:8" ht="15.6">
      <c r="A1732" s="468" t="s">
        <v>2160</v>
      </c>
      <c r="B1732" s="67">
        <v>1</v>
      </c>
      <c r="C1732" s="69" t="s">
        <v>30</v>
      </c>
      <c r="D1732" s="71" t="s">
        <v>12</v>
      </c>
      <c r="E1732" s="70" t="s">
        <v>286</v>
      </c>
      <c r="F1732" s="74">
        <v>2.3245</v>
      </c>
      <c r="G1732" s="70" t="s">
        <v>286</v>
      </c>
      <c r="H1732" s="74">
        <v>0.18559999999999999</v>
      </c>
    </row>
    <row r="1733" spans="1:8" ht="15.6">
      <c r="A1733" s="468" t="s">
        <v>2161</v>
      </c>
      <c r="B1733" s="67">
        <v>2</v>
      </c>
      <c r="C1733" s="69" t="s">
        <v>30</v>
      </c>
      <c r="D1733" s="71" t="s">
        <v>51</v>
      </c>
      <c r="E1733" s="70" t="s">
        <v>286</v>
      </c>
      <c r="F1733" s="74">
        <v>1.9797</v>
      </c>
      <c r="G1733" s="70" t="s">
        <v>286</v>
      </c>
      <c r="H1733" s="74">
        <v>0.1565</v>
      </c>
    </row>
    <row r="1734" spans="1:8" ht="15.6">
      <c r="A1734" s="468" t="s">
        <v>2162</v>
      </c>
      <c r="B1734" s="67">
        <v>3</v>
      </c>
      <c r="C1734" s="69" t="s">
        <v>30</v>
      </c>
      <c r="D1734" s="71" t="s">
        <v>13</v>
      </c>
      <c r="E1734" s="70" t="s">
        <v>286</v>
      </c>
      <c r="F1734" s="74">
        <v>1.8384</v>
      </c>
      <c r="G1734" s="70" t="s">
        <v>286</v>
      </c>
      <c r="H1734" s="74">
        <v>0.1447</v>
      </c>
    </row>
    <row r="1735" spans="1:8" ht="15.6">
      <c r="A1735" s="468" t="s">
        <v>2163</v>
      </c>
      <c r="B1735" s="67">
        <v>4</v>
      </c>
      <c r="C1735" s="69" t="s">
        <v>30</v>
      </c>
      <c r="D1735" s="71" t="s">
        <v>9</v>
      </c>
      <c r="E1735" s="70" t="s">
        <v>286</v>
      </c>
      <c r="F1735" s="74">
        <v>1.6258999999999999</v>
      </c>
      <c r="G1735" s="70" t="s">
        <v>286</v>
      </c>
      <c r="H1735" s="74">
        <v>0.1268</v>
      </c>
    </row>
    <row r="1736" spans="1:8" ht="15.6">
      <c r="A1736" s="468" t="s">
        <v>2164</v>
      </c>
      <c r="B1736" s="67">
        <v>5</v>
      </c>
      <c r="C1736" s="69" t="s">
        <v>30</v>
      </c>
      <c r="D1736" s="71" t="s">
        <v>14</v>
      </c>
      <c r="E1736" s="70" t="s">
        <v>286</v>
      </c>
      <c r="F1736" s="74">
        <v>1.5278</v>
      </c>
      <c r="G1736" s="70" t="s">
        <v>286</v>
      </c>
      <c r="H1736" s="74">
        <v>0.11849999999999999</v>
      </c>
    </row>
    <row r="1737" spans="1:8" ht="15.6">
      <c r="A1737" s="468" t="s">
        <v>2165</v>
      </c>
      <c r="B1737" s="67">
        <v>6</v>
      </c>
      <c r="C1737" s="69" t="s">
        <v>30</v>
      </c>
      <c r="D1737" s="71" t="s">
        <v>33</v>
      </c>
      <c r="E1737" s="70" t="s">
        <v>286</v>
      </c>
      <c r="F1737" s="74">
        <v>1.1595</v>
      </c>
      <c r="G1737" s="70" t="s">
        <v>286</v>
      </c>
      <c r="H1737" s="74">
        <v>8.7499999999999994E-2</v>
      </c>
    </row>
    <row r="1738" spans="1:8" ht="15.6">
      <c r="A1738" s="468" t="s">
        <v>2166</v>
      </c>
      <c r="B1738" s="67">
        <v>7</v>
      </c>
      <c r="C1738" s="69" t="s">
        <v>30</v>
      </c>
      <c r="D1738" s="71" t="s">
        <v>25</v>
      </c>
      <c r="E1738" s="70" t="s">
        <v>286</v>
      </c>
      <c r="F1738" s="74">
        <v>1.0083</v>
      </c>
      <c r="G1738" s="70" t="s">
        <v>286</v>
      </c>
      <c r="H1738" s="74">
        <v>7.4800000000000005E-2</v>
      </c>
    </row>
    <row r="1739" spans="1:8" ht="15.6">
      <c r="A1739" s="468" t="s">
        <v>2167</v>
      </c>
      <c r="B1739" s="67">
        <v>8</v>
      </c>
      <c r="C1739" s="69" t="s">
        <v>30</v>
      </c>
      <c r="D1739" s="71" t="s">
        <v>31</v>
      </c>
      <c r="E1739" s="70" t="s">
        <v>286</v>
      </c>
      <c r="F1739" s="74">
        <v>0.41</v>
      </c>
      <c r="G1739" s="70" t="s">
        <v>286</v>
      </c>
      <c r="H1739" s="74">
        <v>2.4400000000000002E-2</v>
      </c>
    </row>
    <row r="1740" spans="1:8" ht="15.6">
      <c r="A1740" s="468" t="s">
        <v>2168</v>
      </c>
      <c r="B1740" s="67">
        <v>9</v>
      </c>
      <c r="C1740" s="69" t="s">
        <v>30</v>
      </c>
      <c r="D1740" s="71" t="s">
        <v>45</v>
      </c>
      <c r="E1740" s="70" t="s">
        <v>286</v>
      </c>
      <c r="F1740" s="74">
        <v>0.74539999999999995</v>
      </c>
      <c r="G1740" s="70" t="s">
        <v>286</v>
      </c>
      <c r="H1740" s="74">
        <v>5.2600000000000001E-2</v>
      </c>
    </row>
    <row r="1741" spans="1:8" ht="15.6">
      <c r="A1741" s="468" t="s">
        <v>2169</v>
      </c>
      <c r="B1741" s="67">
        <v>10</v>
      </c>
      <c r="C1741" s="69" t="s">
        <v>30</v>
      </c>
      <c r="D1741" s="71" t="s">
        <v>27</v>
      </c>
      <c r="E1741" s="70" t="s">
        <v>286</v>
      </c>
      <c r="F1741" s="74">
        <v>0.53839999999999999</v>
      </c>
      <c r="G1741" s="70" t="s">
        <v>286</v>
      </c>
      <c r="H1741" s="74">
        <v>3.5200000000000002E-2</v>
      </c>
    </row>
    <row r="1742" spans="1:8" ht="15.6">
      <c r="A1742" s="468" t="s">
        <v>2170</v>
      </c>
      <c r="B1742" s="67">
        <v>11</v>
      </c>
      <c r="C1742" s="69" t="s">
        <v>30</v>
      </c>
      <c r="D1742" s="71" t="s">
        <v>21</v>
      </c>
      <c r="E1742" s="70" t="s">
        <v>286</v>
      </c>
      <c r="F1742" s="74">
        <v>0.38450000000000001</v>
      </c>
      <c r="G1742" s="70" t="s">
        <v>286</v>
      </c>
      <c r="H1742" s="74">
        <v>2.23E-2</v>
      </c>
    </row>
    <row r="1743" spans="1:8" ht="15.6">
      <c r="A1743" s="468" t="s">
        <v>2171</v>
      </c>
      <c r="B1743" s="67">
        <v>12</v>
      </c>
      <c r="C1743" s="69" t="s">
        <v>30</v>
      </c>
      <c r="D1743" s="71" t="s">
        <v>32</v>
      </c>
      <c r="E1743" s="70" t="s">
        <v>286</v>
      </c>
      <c r="F1743" s="74">
        <v>0.94330000000000003</v>
      </c>
      <c r="G1743" s="70" t="s">
        <v>286</v>
      </c>
      <c r="H1743" s="74">
        <v>6.93E-2</v>
      </c>
    </row>
    <row r="1744" spans="1:8" ht="15.6">
      <c r="A1744" s="468" t="s">
        <v>2172</v>
      </c>
      <c r="B1744" s="67">
        <v>13</v>
      </c>
      <c r="C1744" s="69" t="s">
        <v>30</v>
      </c>
      <c r="D1744" s="71" t="s">
        <v>30</v>
      </c>
      <c r="E1744" s="70" t="s">
        <v>286</v>
      </c>
      <c r="F1744" s="74">
        <v>0.13289999999999999</v>
      </c>
      <c r="G1744" s="70" t="s">
        <v>286</v>
      </c>
      <c r="H1744" s="74">
        <v>1.1000000000000001E-3</v>
      </c>
    </row>
    <row r="1745" spans="1:8" ht="15.6">
      <c r="A1745" s="468" t="s">
        <v>2173</v>
      </c>
      <c r="B1745" s="67">
        <v>14</v>
      </c>
      <c r="C1745" s="69" t="s">
        <v>30</v>
      </c>
      <c r="D1745" s="71" t="s">
        <v>28</v>
      </c>
      <c r="E1745" s="70" t="s">
        <v>286</v>
      </c>
      <c r="F1745" s="74">
        <v>0.32769999999999999</v>
      </c>
      <c r="G1745" s="70" t="s">
        <v>286</v>
      </c>
      <c r="H1745" s="74">
        <v>1.7500000000000002E-2</v>
      </c>
    </row>
    <row r="1746" spans="1:8" ht="15.6">
      <c r="A1746" s="468" t="s">
        <v>2174</v>
      </c>
      <c r="B1746" s="67">
        <v>15</v>
      </c>
      <c r="C1746" s="69" t="s">
        <v>30</v>
      </c>
      <c r="D1746" s="71" t="s">
        <v>79</v>
      </c>
      <c r="E1746" s="70" t="s">
        <v>286</v>
      </c>
      <c r="F1746" s="74">
        <v>0.2883</v>
      </c>
      <c r="G1746" s="70" t="s">
        <v>286</v>
      </c>
      <c r="H1746" s="74">
        <v>1.4200000000000001E-2</v>
      </c>
    </row>
    <row r="1747" spans="1:8" ht="15.6">
      <c r="A1747" s="468" t="s">
        <v>2175</v>
      </c>
      <c r="B1747" s="67">
        <v>16</v>
      </c>
      <c r="C1747" s="69" t="s">
        <v>30</v>
      </c>
      <c r="D1747" s="71" t="s">
        <v>29</v>
      </c>
      <c r="E1747" s="70" t="s">
        <v>286</v>
      </c>
      <c r="F1747" s="74">
        <v>0.4582</v>
      </c>
      <c r="G1747" s="70" t="s">
        <v>286</v>
      </c>
      <c r="H1747" s="74">
        <v>2.8500000000000001E-2</v>
      </c>
    </row>
    <row r="1748" spans="1:8" ht="15.6">
      <c r="A1748" s="468" t="s">
        <v>2176</v>
      </c>
      <c r="B1748" s="67">
        <v>17</v>
      </c>
      <c r="C1748" s="69" t="s">
        <v>30</v>
      </c>
      <c r="D1748" s="71" t="s">
        <v>43</v>
      </c>
      <c r="E1748" s="70" t="s">
        <v>286</v>
      </c>
      <c r="F1748" s="74">
        <v>0.2792</v>
      </c>
      <c r="G1748" s="70" t="s">
        <v>286</v>
      </c>
      <c r="H1748" s="74">
        <v>1.34E-2</v>
      </c>
    </row>
    <row r="1749" spans="1:8" ht="15.6">
      <c r="A1749" s="468" t="s">
        <v>2177</v>
      </c>
      <c r="B1749" s="67">
        <v>18</v>
      </c>
      <c r="C1749" s="69" t="s">
        <v>30</v>
      </c>
      <c r="D1749" s="71" t="s">
        <v>18</v>
      </c>
      <c r="E1749" s="70" t="s">
        <v>286</v>
      </c>
      <c r="F1749" s="74">
        <v>0.2737</v>
      </c>
      <c r="G1749" s="70" t="s">
        <v>286</v>
      </c>
      <c r="H1749" s="74">
        <v>1.29E-2</v>
      </c>
    </row>
    <row r="1750" spans="1:8" ht="15.6">
      <c r="A1750" s="468" t="s">
        <v>2178</v>
      </c>
      <c r="B1750" s="67">
        <v>19</v>
      </c>
      <c r="C1750" s="69" t="s">
        <v>30</v>
      </c>
      <c r="D1750" s="71" t="s">
        <v>76</v>
      </c>
      <c r="E1750" s="70" t="s">
        <v>286</v>
      </c>
      <c r="F1750" s="74">
        <v>0.2792</v>
      </c>
      <c r="G1750" s="70" t="s">
        <v>286</v>
      </c>
      <c r="H1750" s="74">
        <v>1.34E-2</v>
      </c>
    </row>
    <row r="1751" spans="1:8" ht="15.6">
      <c r="A1751" s="468" t="s">
        <v>2179</v>
      </c>
      <c r="B1751" s="67">
        <v>20</v>
      </c>
      <c r="C1751" s="69" t="s">
        <v>30</v>
      </c>
      <c r="D1751" s="71" t="s">
        <v>19</v>
      </c>
      <c r="E1751" s="70" t="s">
        <v>286</v>
      </c>
      <c r="F1751" s="74">
        <v>0.5343</v>
      </c>
      <c r="G1751" s="70" t="s">
        <v>286</v>
      </c>
      <c r="H1751" s="74">
        <v>3.49E-2</v>
      </c>
    </row>
    <row r="1752" spans="1:8" ht="15.6">
      <c r="A1752" s="468" t="s">
        <v>2180</v>
      </c>
      <c r="B1752" s="67">
        <v>21</v>
      </c>
      <c r="C1752" s="69" t="s">
        <v>30</v>
      </c>
      <c r="D1752" s="71" t="s">
        <v>23</v>
      </c>
      <c r="E1752" s="70" t="s">
        <v>286</v>
      </c>
      <c r="F1752" s="74">
        <v>0.44679999999999997</v>
      </c>
      <c r="G1752" s="70" t="s">
        <v>286</v>
      </c>
      <c r="H1752" s="74">
        <v>2.75E-2</v>
      </c>
    </row>
    <row r="1753" spans="1:8" ht="15.6">
      <c r="A1753" s="468" t="s">
        <v>2181</v>
      </c>
      <c r="B1753" s="67">
        <v>22</v>
      </c>
      <c r="C1753" s="69" t="s">
        <v>30</v>
      </c>
      <c r="D1753" s="71" t="s">
        <v>20</v>
      </c>
      <c r="E1753" s="70" t="s">
        <v>286</v>
      </c>
      <c r="F1753" s="74">
        <v>0.70269999999999999</v>
      </c>
      <c r="G1753" s="70" t="s">
        <v>286</v>
      </c>
      <c r="H1753" s="74">
        <v>4.9000000000000002E-2</v>
      </c>
    </row>
    <row r="1754" spans="1:8" ht="15.6">
      <c r="A1754" s="468" t="s">
        <v>2182</v>
      </c>
      <c r="B1754" s="67">
        <v>23</v>
      </c>
      <c r="C1754" s="69" t="s">
        <v>30</v>
      </c>
      <c r="D1754" s="71" t="s">
        <v>53</v>
      </c>
      <c r="E1754" s="70" t="s">
        <v>286</v>
      </c>
      <c r="F1754" s="74">
        <v>0.45960000000000001</v>
      </c>
      <c r="G1754" s="70" t="s">
        <v>286</v>
      </c>
      <c r="H1754" s="74">
        <v>2.86E-2</v>
      </c>
    </row>
    <row r="1755" spans="1:8" ht="15.6">
      <c r="A1755" s="468" t="s">
        <v>2183</v>
      </c>
      <c r="B1755" s="67">
        <v>24</v>
      </c>
      <c r="C1755" s="69" t="s">
        <v>30</v>
      </c>
      <c r="D1755" s="71" t="s">
        <v>41</v>
      </c>
      <c r="E1755" s="70" t="s">
        <v>286</v>
      </c>
      <c r="F1755" s="74">
        <v>0.46239999999999998</v>
      </c>
      <c r="G1755" s="70" t="s">
        <v>286</v>
      </c>
      <c r="H1755" s="74">
        <v>2.8799999999999999E-2</v>
      </c>
    </row>
    <row r="1756" spans="1:8" ht="15.6">
      <c r="A1756" s="468" t="s">
        <v>2184</v>
      </c>
      <c r="B1756" s="67">
        <v>25</v>
      </c>
      <c r="C1756" s="69" t="s">
        <v>30</v>
      </c>
      <c r="D1756" s="71" t="s">
        <v>36</v>
      </c>
      <c r="E1756" s="70" t="s">
        <v>286</v>
      </c>
      <c r="F1756" s="74">
        <v>0.3866</v>
      </c>
      <c r="G1756" s="70" t="s">
        <v>286</v>
      </c>
      <c r="H1756" s="74">
        <v>2.24E-2</v>
      </c>
    </row>
    <row r="1757" spans="1:8" ht="15.6">
      <c r="A1757" s="468" t="s">
        <v>2185</v>
      </c>
      <c r="B1757" s="67">
        <v>26</v>
      </c>
      <c r="C1757" s="69" t="s">
        <v>30</v>
      </c>
      <c r="D1757" s="71" t="s">
        <v>15</v>
      </c>
      <c r="E1757" s="70" t="s">
        <v>286</v>
      </c>
      <c r="F1757" s="74">
        <v>0.56840000000000002</v>
      </c>
      <c r="G1757" s="70" t="s">
        <v>286</v>
      </c>
      <c r="H1757" s="74">
        <v>3.7699999999999997E-2</v>
      </c>
    </row>
    <row r="1758" spans="1:8" ht="15.6">
      <c r="A1758" s="468" t="s">
        <v>2186</v>
      </c>
      <c r="B1758" s="67">
        <v>27</v>
      </c>
      <c r="C1758" s="69" t="s">
        <v>30</v>
      </c>
      <c r="D1758" s="71" t="s">
        <v>16</v>
      </c>
      <c r="E1758" s="70" t="s">
        <v>286</v>
      </c>
      <c r="F1758" s="74">
        <v>0.85160000000000002</v>
      </c>
      <c r="G1758" s="70" t="s">
        <v>286</v>
      </c>
      <c r="H1758" s="74">
        <v>6.1600000000000002E-2</v>
      </c>
    </row>
    <row r="1759" spans="1:8" ht="15.6">
      <c r="A1759" s="468" t="s">
        <v>2187</v>
      </c>
      <c r="B1759" s="67">
        <v>28</v>
      </c>
      <c r="C1759" s="69" t="s">
        <v>30</v>
      </c>
      <c r="D1759" s="71" t="s">
        <v>17</v>
      </c>
      <c r="E1759" s="70" t="s">
        <v>286</v>
      </c>
      <c r="F1759" s="74">
        <v>1.6405000000000001</v>
      </c>
      <c r="G1759" s="70" t="s">
        <v>286</v>
      </c>
      <c r="H1759" s="74">
        <v>0.128</v>
      </c>
    </row>
    <row r="1760" spans="1:8" ht="15.6">
      <c r="A1760" s="468" t="s">
        <v>2188</v>
      </c>
      <c r="B1760" s="67">
        <v>29</v>
      </c>
      <c r="C1760" s="69" t="s">
        <v>30</v>
      </c>
      <c r="D1760" s="71" t="s">
        <v>10</v>
      </c>
      <c r="E1760" s="70" t="s">
        <v>286</v>
      </c>
      <c r="F1760" s="74">
        <v>1.6405000000000001</v>
      </c>
      <c r="G1760" s="70" t="s">
        <v>286</v>
      </c>
      <c r="H1760" s="74">
        <v>0.128</v>
      </c>
    </row>
    <row r="1761" spans="1:8" ht="15.6">
      <c r="A1761" s="468" t="s">
        <v>2189</v>
      </c>
      <c r="B1761" s="67">
        <v>30</v>
      </c>
      <c r="C1761" s="69" t="s">
        <v>30</v>
      </c>
      <c r="D1761" s="71" t="s">
        <v>22</v>
      </c>
      <c r="E1761" s="70" t="s">
        <v>286</v>
      </c>
      <c r="F1761" s="74">
        <v>0.53659999999999997</v>
      </c>
      <c r="G1761" s="70" t="s">
        <v>286</v>
      </c>
      <c r="H1761" s="74">
        <v>3.5099999999999999E-2</v>
      </c>
    </row>
    <row r="1762" spans="1:8" ht="15.6">
      <c r="A1762" s="468" t="s">
        <v>2190</v>
      </c>
      <c r="B1762" s="67">
        <v>31</v>
      </c>
      <c r="C1762" s="69" t="s">
        <v>30</v>
      </c>
      <c r="D1762" s="71" t="s">
        <v>35</v>
      </c>
      <c r="E1762" s="70" t="s">
        <v>286</v>
      </c>
      <c r="F1762" s="74">
        <v>0.30959999999999999</v>
      </c>
      <c r="G1762" s="70" t="s">
        <v>286</v>
      </c>
      <c r="H1762" s="74">
        <v>1.6E-2</v>
      </c>
    </row>
    <row r="1763" spans="1:8" ht="15.6">
      <c r="A1763" s="468" t="s">
        <v>2191</v>
      </c>
      <c r="B1763" s="67">
        <v>32</v>
      </c>
      <c r="C1763" s="69" t="s">
        <v>30</v>
      </c>
      <c r="D1763" s="71" t="s">
        <v>24</v>
      </c>
      <c r="E1763" s="70" t="s">
        <v>286</v>
      </c>
      <c r="F1763" s="74">
        <v>0.6905</v>
      </c>
      <c r="G1763" s="70" t="s">
        <v>286</v>
      </c>
      <c r="H1763" s="74">
        <v>4.8000000000000001E-2</v>
      </c>
    </row>
    <row r="1764" spans="1:8" ht="15.6">
      <c r="A1764" s="468" t="s">
        <v>2192</v>
      </c>
      <c r="B1764" s="67">
        <v>33</v>
      </c>
      <c r="C1764" s="69" t="s">
        <v>30</v>
      </c>
      <c r="D1764" s="71" t="s">
        <v>37</v>
      </c>
      <c r="E1764" s="70" t="s">
        <v>286</v>
      </c>
      <c r="F1764" s="74">
        <v>0.38469999999999999</v>
      </c>
      <c r="G1764" s="70" t="s">
        <v>286</v>
      </c>
      <c r="H1764" s="74">
        <v>2.23E-2</v>
      </c>
    </row>
    <row r="1765" spans="1:8" ht="15.6">
      <c r="A1765" s="468" t="s">
        <v>2193</v>
      </c>
      <c r="B1765" s="67">
        <v>34</v>
      </c>
      <c r="C1765" s="69" t="s">
        <v>30</v>
      </c>
      <c r="D1765" s="71" t="s">
        <v>38</v>
      </c>
      <c r="E1765" s="70" t="s">
        <v>286</v>
      </c>
      <c r="F1765" s="74">
        <v>0.27239999999999998</v>
      </c>
      <c r="G1765" s="70" t="s">
        <v>286</v>
      </c>
      <c r="H1765" s="74">
        <v>1.2800000000000001E-2</v>
      </c>
    </row>
    <row r="1766" spans="1:8" ht="15.6">
      <c r="A1766" s="468" t="s">
        <v>2194</v>
      </c>
      <c r="B1766" s="67">
        <v>35</v>
      </c>
      <c r="C1766" s="69" t="s">
        <v>30</v>
      </c>
      <c r="D1766" s="71" t="s">
        <v>26</v>
      </c>
      <c r="E1766" s="70" t="s">
        <v>286</v>
      </c>
      <c r="F1766" s="74">
        <v>0.70440000000000003</v>
      </c>
      <c r="G1766" s="70" t="s">
        <v>286</v>
      </c>
      <c r="H1766" s="74">
        <v>4.9200000000000001E-2</v>
      </c>
    </row>
    <row r="1767" spans="1:8" ht="15.6">
      <c r="A1767" s="468" t="s">
        <v>2195</v>
      </c>
      <c r="B1767" s="67">
        <v>36</v>
      </c>
      <c r="C1767" s="69" t="s">
        <v>30</v>
      </c>
      <c r="D1767" s="71" t="s">
        <v>52</v>
      </c>
      <c r="E1767" s="70" t="s">
        <v>286</v>
      </c>
      <c r="F1767" s="74">
        <v>1.5278</v>
      </c>
      <c r="G1767" s="70" t="s">
        <v>286</v>
      </c>
      <c r="H1767" s="74">
        <v>0.11849999999999999</v>
      </c>
    </row>
    <row r="1768" spans="1:8" ht="15.6">
      <c r="A1768" s="468" t="s">
        <v>2196</v>
      </c>
      <c r="B1768" s="67">
        <v>37</v>
      </c>
      <c r="C1768" s="69" t="s">
        <v>30</v>
      </c>
      <c r="D1768" s="71" t="s">
        <v>40</v>
      </c>
      <c r="E1768" s="70" t="s">
        <v>286</v>
      </c>
      <c r="F1768" s="74">
        <v>0.47849999999999998</v>
      </c>
      <c r="G1768" s="70" t="s">
        <v>286</v>
      </c>
      <c r="H1768" s="74">
        <v>3.0200000000000001E-2</v>
      </c>
    </row>
    <row r="1769" spans="1:8" ht="15.6">
      <c r="A1769" s="468" t="s">
        <v>2197</v>
      </c>
      <c r="B1769" s="67">
        <v>38</v>
      </c>
      <c r="C1769" s="69" t="s">
        <v>30</v>
      </c>
      <c r="D1769" s="71" t="s">
        <v>34</v>
      </c>
      <c r="E1769" s="70" t="s">
        <v>286</v>
      </c>
      <c r="F1769" s="74">
        <v>1.8384</v>
      </c>
      <c r="G1769" s="70" t="s">
        <v>286</v>
      </c>
      <c r="H1769" s="74">
        <v>0.1447</v>
      </c>
    </row>
    <row r="1770" spans="1:8" ht="15.6">
      <c r="A1770" s="468" t="s">
        <v>2198</v>
      </c>
      <c r="B1770" s="67">
        <v>39</v>
      </c>
      <c r="C1770" s="69" t="s">
        <v>30</v>
      </c>
      <c r="D1770" s="71" t="s">
        <v>54</v>
      </c>
      <c r="E1770" s="70" t="s">
        <v>286</v>
      </c>
      <c r="F1770" s="74">
        <v>0.45960000000000001</v>
      </c>
      <c r="G1770" s="70" t="s">
        <v>286</v>
      </c>
      <c r="H1770" s="74">
        <v>2.86E-2</v>
      </c>
    </row>
    <row r="1771" spans="1:8" ht="15.6">
      <c r="A1771" s="468" t="s">
        <v>2199</v>
      </c>
      <c r="B1771" s="67">
        <v>40</v>
      </c>
      <c r="C1771" s="69" t="s">
        <v>31</v>
      </c>
      <c r="D1771" s="71" t="s">
        <v>12</v>
      </c>
      <c r="E1771" s="70" t="s">
        <v>286</v>
      </c>
      <c r="F1771" s="74">
        <v>1.4286000000000001</v>
      </c>
      <c r="G1771" s="70" t="s">
        <v>286</v>
      </c>
      <c r="H1771" s="74">
        <v>0.16220000000000001</v>
      </c>
    </row>
    <row r="1772" spans="1:8" ht="15.6">
      <c r="A1772" s="468" t="s">
        <v>2200</v>
      </c>
      <c r="B1772" s="67">
        <v>41</v>
      </c>
      <c r="C1772" s="69" t="s">
        <v>31</v>
      </c>
      <c r="D1772" s="71" t="s">
        <v>51</v>
      </c>
      <c r="E1772" s="70" t="s">
        <v>286</v>
      </c>
      <c r="F1772" s="74">
        <v>1.1879</v>
      </c>
      <c r="G1772" s="70" t="s">
        <v>286</v>
      </c>
      <c r="H1772" s="74">
        <v>0.13320000000000001</v>
      </c>
    </row>
    <row r="1773" spans="1:8" ht="15.6">
      <c r="A1773" s="468" t="s">
        <v>2201</v>
      </c>
      <c r="B1773" s="67">
        <v>42</v>
      </c>
      <c r="C1773" s="69" t="s">
        <v>31</v>
      </c>
      <c r="D1773" s="71" t="s">
        <v>13</v>
      </c>
      <c r="E1773" s="70" t="s">
        <v>286</v>
      </c>
      <c r="F1773" s="74">
        <v>1.0892999999999999</v>
      </c>
      <c r="G1773" s="70" t="s">
        <v>286</v>
      </c>
      <c r="H1773" s="74">
        <v>0.12130000000000001</v>
      </c>
    </row>
    <row r="1774" spans="1:8" ht="15.6">
      <c r="A1774" s="468" t="s">
        <v>2202</v>
      </c>
      <c r="B1774" s="67">
        <v>43</v>
      </c>
      <c r="C1774" s="69" t="s">
        <v>31</v>
      </c>
      <c r="D1774" s="71" t="s">
        <v>9</v>
      </c>
      <c r="E1774" s="70" t="s">
        <v>286</v>
      </c>
      <c r="F1774" s="74">
        <v>0.94089999999999996</v>
      </c>
      <c r="G1774" s="70" t="s">
        <v>286</v>
      </c>
      <c r="H1774" s="74">
        <v>0.10340000000000001</v>
      </c>
    </row>
    <row r="1775" spans="1:8" ht="15.6">
      <c r="A1775" s="468" t="s">
        <v>2203</v>
      </c>
      <c r="B1775" s="67">
        <v>44</v>
      </c>
      <c r="C1775" s="69" t="s">
        <v>31</v>
      </c>
      <c r="D1775" s="71" t="s">
        <v>14</v>
      </c>
      <c r="E1775" s="70" t="s">
        <v>286</v>
      </c>
      <c r="F1775" s="74">
        <v>0.87270000000000003</v>
      </c>
      <c r="G1775" s="70" t="s">
        <v>286</v>
      </c>
      <c r="H1775" s="74">
        <v>9.5200000000000007E-2</v>
      </c>
    </row>
    <row r="1776" spans="1:8" ht="15.6">
      <c r="A1776" s="468" t="s">
        <v>2204</v>
      </c>
      <c r="B1776" s="67">
        <v>45</v>
      </c>
      <c r="C1776" s="69" t="s">
        <v>31</v>
      </c>
      <c r="D1776" s="71" t="s">
        <v>33</v>
      </c>
      <c r="E1776" s="70" t="s">
        <v>286</v>
      </c>
      <c r="F1776" s="74">
        <v>0.61550000000000005</v>
      </c>
      <c r="G1776" s="70" t="s">
        <v>286</v>
      </c>
      <c r="H1776" s="74">
        <v>6.4100000000000004E-2</v>
      </c>
    </row>
    <row r="1777" spans="1:8" ht="15.6">
      <c r="A1777" s="468" t="s">
        <v>2205</v>
      </c>
      <c r="B1777" s="67">
        <v>46</v>
      </c>
      <c r="C1777" s="69" t="s">
        <v>31</v>
      </c>
      <c r="D1777" s="71" t="s">
        <v>25</v>
      </c>
      <c r="E1777" s="70" t="s">
        <v>286</v>
      </c>
      <c r="F1777" s="74">
        <v>0.5101</v>
      </c>
      <c r="G1777" s="70" t="s">
        <v>286</v>
      </c>
      <c r="H1777" s="74">
        <v>5.1400000000000001E-2</v>
      </c>
    </row>
    <row r="1778" spans="1:8" ht="15.6">
      <c r="A1778" s="468" t="s">
        <v>2206</v>
      </c>
      <c r="B1778" s="67">
        <v>47</v>
      </c>
      <c r="C1778" s="69" t="s">
        <v>31</v>
      </c>
      <c r="D1778" s="71" t="s">
        <v>31</v>
      </c>
      <c r="E1778" s="70" t="s">
        <v>286</v>
      </c>
      <c r="F1778" s="74">
        <v>9.2700000000000005E-2</v>
      </c>
      <c r="G1778" s="70" t="s">
        <v>286</v>
      </c>
      <c r="H1778" s="74">
        <v>1.1000000000000001E-3</v>
      </c>
    </row>
    <row r="1779" spans="1:8" ht="15.6">
      <c r="A1779" s="468" t="s">
        <v>2207</v>
      </c>
      <c r="B1779" s="67">
        <v>48</v>
      </c>
      <c r="C1779" s="69" t="s">
        <v>31</v>
      </c>
      <c r="D1779" s="71" t="s">
        <v>45</v>
      </c>
      <c r="E1779" s="70" t="s">
        <v>286</v>
      </c>
      <c r="F1779" s="74">
        <v>0.3266</v>
      </c>
      <c r="G1779" s="70" t="s">
        <v>286</v>
      </c>
      <c r="H1779" s="74">
        <v>2.93E-2</v>
      </c>
    </row>
    <row r="1780" spans="1:8" ht="15.6">
      <c r="A1780" s="468" t="s">
        <v>2208</v>
      </c>
      <c r="B1780" s="67">
        <v>49</v>
      </c>
      <c r="C1780" s="69" t="s">
        <v>31</v>
      </c>
      <c r="D1780" s="71" t="s">
        <v>27</v>
      </c>
      <c r="E1780" s="70" t="s">
        <v>286</v>
      </c>
      <c r="F1780" s="74">
        <v>0.19889999999999999</v>
      </c>
      <c r="G1780" s="70" t="s">
        <v>286</v>
      </c>
      <c r="H1780" s="74">
        <v>1.3899999999999999E-2</v>
      </c>
    </row>
    <row r="1781" spans="1:8" ht="15.6">
      <c r="A1781" s="468" t="s">
        <v>2209</v>
      </c>
      <c r="B1781" s="67">
        <v>50</v>
      </c>
      <c r="C1781" s="69" t="s">
        <v>31</v>
      </c>
      <c r="D1781" s="71" t="s">
        <v>21</v>
      </c>
      <c r="E1781" s="70" t="s">
        <v>286</v>
      </c>
      <c r="F1781" s="74">
        <v>0.18479999999999999</v>
      </c>
      <c r="G1781" s="70" t="s">
        <v>286</v>
      </c>
      <c r="H1781" s="74">
        <v>1.2200000000000001E-2</v>
      </c>
    </row>
    <row r="1782" spans="1:8" ht="15.6">
      <c r="A1782" s="468" t="s">
        <v>2210</v>
      </c>
      <c r="B1782" s="67">
        <v>51</v>
      </c>
      <c r="C1782" s="69" t="s">
        <v>31</v>
      </c>
      <c r="D1782" s="71" t="s">
        <v>32</v>
      </c>
      <c r="E1782" s="70" t="s">
        <v>286</v>
      </c>
      <c r="F1782" s="74">
        <v>0.8518</v>
      </c>
      <c r="G1782" s="70" t="s">
        <v>286</v>
      </c>
      <c r="H1782" s="74">
        <v>9.2600000000000002E-2</v>
      </c>
    </row>
    <row r="1783" spans="1:8" ht="15.6">
      <c r="A1783" s="468" t="s">
        <v>2211</v>
      </c>
      <c r="B1783" s="67">
        <v>52</v>
      </c>
      <c r="C1783" s="69" t="s">
        <v>31</v>
      </c>
      <c r="D1783" s="71" t="s">
        <v>30</v>
      </c>
      <c r="E1783" s="70" t="s">
        <v>286</v>
      </c>
      <c r="F1783" s="74">
        <v>0.30719999999999997</v>
      </c>
      <c r="G1783" s="70" t="s">
        <v>286</v>
      </c>
      <c r="H1783" s="74">
        <v>2.4400000000000002E-2</v>
      </c>
    </row>
    <row r="1784" spans="1:8" ht="15.6">
      <c r="A1784" s="468" t="s">
        <v>2212</v>
      </c>
      <c r="B1784" s="67">
        <v>53</v>
      </c>
      <c r="C1784" s="69" t="s">
        <v>31</v>
      </c>
      <c r="D1784" s="71" t="s">
        <v>28</v>
      </c>
      <c r="E1784" s="70" t="s">
        <v>286</v>
      </c>
      <c r="F1784" s="74">
        <v>0.45340000000000003</v>
      </c>
      <c r="G1784" s="70" t="s">
        <v>286</v>
      </c>
      <c r="H1784" s="74">
        <v>4.0800000000000003E-2</v>
      </c>
    </row>
    <row r="1785" spans="1:8" ht="15.6">
      <c r="A1785" s="468" t="s">
        <v>2213</v>
      </c>
      <c r="B1785" s="67">
        <v>54</v>
      </c>
      <c r="C1785" s="69" t="s">
        <v>31</v>
      </c>
      <c r="D1785" s="71" t="s">
        <v>79</v>
      </c>
      <c r="E1785" s="70" t="s">
        <v>286</v>
      </c>
      <c r="F1785" s="74">
        <v>0.42380000000000001</v>
      </c>
      <c r="G1785" s="70" t="s">
        <v>286</v>
      </c>
      <c r="H1785" s="74">
        <v>3.7499999999999999E-2</v>
      </c>
    </row>
    <row r="1786" spans="1:8" ht="15.6">
      <c r="A1786" s="468" t="s">
        <v>2214</v>
      </c>
      <c r="B1786" s="67">
        <v>55</v>
      </c>
      <c r="C1786" s="69" t="s">
        <v>31</v>
      </c>
      <c r="D1786" s="71" t="s">
        <v>29</v>
      </c>
      <c r="E1786" s="70" t="s">
        <v>286</v>
      </c>
      <c r="F1786" s="74">
        <v>0.49020000000000002</v>
      </c>
      <c r="G1786" s="70" t="s">
        <v>286</v>
      </c>
      <c r="H1786" s="74">
        <v>4.4999999999999998E-2</v>
      </c>
    </row>
    <row r="1787" spans="1:8" ht="15.6">
      <c r="A1787" s="468" t="s">
        <v>2215</v>
      </c>
      <c r="B1787" s="67">
        <v>56</v>
      </c>
      <c r="C1787" s="69" t="s">
        <v>31</v>
      </c>
      <c r="D1787" s="71" t="s">
        <v>43</v>
      </c>
      <c r="E1787" s="70" t="s">
        <v>286</v>
      </c>
      <c r="F1787" s="74">
        <v>0.41699999999999998</v>
      </c>
      <c r="G1787" s="70" t="s">
        <v>286</v>
      </c>
      <c r="H1787" s="74">
        <v>3.6700000000000003E-2</v>
      </c>
    </row>
    <row r="1788" spans="1:8" ht="15.6">
      <c r="A1788" s="468" t="s">
        <v>2216</v>
      </c>
      <c r="B1788" s="67">
        <v>57</v>
      </c>
      <c r="C1788" s="69" t="s">
        <v>31</v>
      </c>
      <c r="D1788" s="71" t="s">
        <v>18</v>
      </c>
      <c r="E1788" s="70" t="s">
        <v>286</v>
      </c>
      <c r="F1788" s="74">
        <v>0.4128</v>
      </c>
      <c r="G1788" s="70" t="s">
        <v>286</v>
      </c>
      <c r="H1788" s="74">
        <v>3.6299999999999999E-2</v>
      </c>
    </row>
    <row r="1789" spans="1:8" ht="15.6">
      <c r="A1789" s="468" t="s">
        <v>2217</v>
      </c>
      <c r="B1789" s="67">
        <v>58</v>
      </c>
      <c r="C1789" s="69" t="s">
        <v>31</v>
      </c>
      <c r="D1789" s="71" t="s">
        <v>76</v>
      </c>
      <c r="E1789" s="70" t="s">
        <v>286</v>
      </c>
      <c r="F1789" s="74">
        <v>0.41699999999999998</v>
      </c>
      <c r="G1789" s="70" t="s">
        <v>286</v>
      </c>
      <c r="H1789" s="74">
        <v>3.6700000000000003E-2</v>
      </c>
    </row>
    <row r="1790" spans="1:8" ht="15.6">
      <c r="A1790" s="468" t="s">
        <v>2218</v>
      </c>
      <c r="B1790" s="67">
        <v>59</v>
      </c>
      <c r="C1790" s="69" t="s">
        <v>31</v>
      </c>
      <c r="D1790" s="71" t="s">
        <v>19</v>
      </c>
      <c r="E1790" s="70" t="s">
        <v>286</v>
      </c>
      <c r="F1790" s="74">
        <v>0.44800000000000001</v>
      </c>
      <c r="G1790" s="70" t="s">
        <v>286</v>
      </c>
      <c r="H1790" s="74">
        <v>4.02E-2</v>
      </c>
    </row>
    <row r="1791" spans="1:8" ht="15.6">
      <c r="A1791" s="468" t="s">
        <v>2219</v>
      </c>
      <c r="B1791" s="67">
        <v>60</v>
      </c>
      <c r="C1791" s="69" t="s">
        <v>31</v>
      </c>
      <c r="D1791" s="71" t="s">
        <v>23</v>
      </c>
      <c r="E1791" s="70" t="s">
        <v>286</v>
      </c>
      <c r="F1791" s="74">
        <v>0.52769999999999995</v>
      </c>
      <c r="G1791" s="70" t="s">
        <v>286</v>
      </c>
      <c r="H1791" s="74">
        <v>4.9200000000000001E-2</v>
      </c>
    </row>
    <row r="1792" spans="1:8" ht="15.6">
      <c r="A1792" s="468" t="s">
        <v>2220</v>
      </c>
      <c r="B1792" s="67">
        <v>61</v>
      </c>
      <c r="C1792" s="69" t="s">
        <v>31</v>
      </c>
      <c r="D1792" s="71" t="s">
        <v>20</v>
      </c>
      <c r="E1792" s="70" t="s">
        <v>286</v>
      </c>
      <c r="F1792" s="74">
        <v>0.58009999999999995</v>
      </c>
      <c r="G1792" s="70" t="s">
        <v>286</v>
      </c>
      <c r="H1792" s="74">
        <v>5.5100000000000003E-2</v>
      </c>
    </row>
    <row r="1793" spans="1:8" ht="15.6">
      <c r="A1793" s="468" t="s">
        <v>2221</v>
      </c>
      <c r="B1793" s="67">
        <v>62</v>
      </c>
      <c r="C1793" s="69" t="s">
        <v>31</v>
      </c>
      <c r="D1793" s="71" t="s">
        <v>53</v>
      </c>
      <c r="E1793" s="70" t="s">
        <v>286</v>
      </c>
      <c r="F1793" s="74">
        <v>0.55220000000000002</v>
      </c>
      <c r="G1793" s="70" t="s">
        <v>286</v>
      </c>
      <c r="H1793" s="74">
        <v>5.1900000000000002E-2</v>
      </c>
    </row>
    <row r="1794" spans="1:8" ht="15.6">
      <c r="A1794" s="468" t="s">
        <v>2222</v>
      </c>
      <c r="B1794" s="67">
        <v>63</v>
      </c>
      <c r="C1794" s="69" t="s">
        <v>31</v>
      </c>
      <c r="D1794" s="71" t="s">
        <v>41</v>
      </c>
      <c r="E1794" s="70" t="s">
        <v>286</v>
      </c>
      <c r="F1794" s="74">
        <v>0.55430000000000001</v>
      </c>
      <c r="G1794" s="70" t="s">
        <v>286</v>
      </c>
      <c r="H1794" s="74">
        <v>5.2200000000000003E-2</v>
      </c>
    </row>
    <row r="1795" spans="1:8" ht="15.6">
      <c r="A1795" s="468" t="s">
        <v>2223</v>
      </c>
      <c r="B1795" s="67">
        <v>64</v>
      </c>
      <c r="C1795" s="69" t="s">
        <v>31</v>
      </c>
      <c r="D1795" s="71" t="s">
        <v>36</v>
      </c>
      <c r="E1795" s="70" t="s">
        <v>286</v>
      </c>
      <c r="F1795" s="74">
        <v>0.4975</v>
      </c>
      <c r="G1795" s="70" t="s">
        <v>286</v>
      </c>
      <c r="H1795" s="74">
        <v>4.58E-2</v>
      </c>
    </row>
    <row r="1796" spans="1:8" ht="15.6">
      <c r="A1796" s="468" t="s">
        <v>2224</v>
      </c>
      <c r="B1796" s="67">
        <v>65</v>
      </c>
      <c r="C1796" s="69" t="s">
        <v>31</v>
      </c>
      <c r="D1796" s="71" t="s">
        <v>15</v>
      </c>
      <c r="E1796" s="70" t="s">
        <v>286</v>
      </c>
      <c r="F1796" s="74">
        <v>0.4798</v>
      </c>
      <c r="G1796" s="70" t="s">
        <v>286</v>
      </c>
      <c r="H1796" s="74">
        <v>4.3799999999999999E-2</v>
      </c>
    </row>
    <row r="1797" spans="1:8" ht="15.6">
      <c r="A1797" s="468" t="s">
        <v>2225</v>
      </c>
      <c r="B1797" s="67">
        <v>66</v>
      </c>
      <c r="C1797" s="69" t="s">
        <v>31</v>
      </c>
      <c r="D1797" s="71" t="s">
        <v>16</v>
      </c>
      <c r="E1797" s="70" t="s">
        <v>286</v>
      </c>
      <c r="F1797" s="74">
        <v>0.69189999999999996</v>
      </c>
      <c r="G1797" s="70" t="s">
        <v>286</v>
      </c>
      <c r="H1797" s="74">
        <v>6.7599999999999993E-2</v>
      </c>
    </row>
    <row r="1798" spans="1:8" ht="15.6">
      <c r="A1798" s="468" t="s">
        <v>2226</v>
      </c>
      <c r="B1798" s="67">
        <v>67</v>
      </c>
      <c r="C1798" s="69" t="s">
        <v>31</v>
      </c>
      <c r="D1798" s="71" t="s">
        <v>17</v>
      </c>
      <c r="E1798" s="70" t="s">
        <v>286</v>
      </c>
      <c r="F1798" s="74">
        <v>0.95140000000000002</v>
      </c>
      <c r="G1798" s="70" t="s">
        <v>286</v>
      </c>
      <c r="H1798" s="74">
        <v>0.1047</v>
      </c>
    </row>
    <row r="1799" spans="1:8" ht="15.6">
      <c r="A1799" s="468" t="s">
        <v>2227</v>
      </c>
      <c r="B1799" s="67">
        <v>68</v>
      </c>
      <c r="C1799" s="69" t="s">
        <v>31</v>
      </c>
      <c r="D1799" s="71" t="s">
        <v>10</v>
      </c>
      <c r="E1799" s="70" t="s">
        <v>286</v>
      </c>
      <c r="F1799" s="74">
        <v>0.95140000000000002</v>
      </c>
      <c r="G1799" s="70" t="s">
        <v>286</v>
      </c>
      <c r="H1799" s="74">
        <v>0.1047</v>
      </c>
    </row>
    <row r="1800" spans="1:8" ht="15.6">
      <c r="A1800" s="468" t="s">
        <v>2228</v>
      </c>
      <c r="B1800" s="67">
        <v>69</v>
      </c>
      <c r="C1800" s="69" t="s">
        <v>31</v>
      </c>
      <c r="D1800" s="71" t="s">
        <v>22</v>
      </c>
      <c r="E1800" s="70" t="s">
        <v>286</v>
      </c>
      <c r="F1800" s="74">
        <v>0.46</v>
      </c>
      <c r="G1800" s="70" t="s">
        <v>286</v>
      </c>
      <c r="H1800" s="74">
        <v>4.1599999999999998E-2</v>
      </c>
    </row>
    <row r="1801" spans="1:8" ht="15.6">
      <c r="A1801" s="468" t="s">
        <v>2229</v>
      </c>
      <c r="B1801" s="67">
        <v>70</v>
      </c>
      <c r="C1801" s="69" t="s">
        <v>31</v>
      </c>
      <c r="D1801" s="71" t="s">
        <v>35</v>
      </c>
      <c r="E1801" s="70" t="s">
        <v>286</v>
      </c>
      <c r="F1801" s="74">
        <v>0.43980000000000002</v>
      </c>
      <c r="G1801" s="70" t="s">
        <v>286</v>
      </c>
      <c r="H1801" s="74">
        <v>3.9300000000000002E-2</v>
      </c>
    </row>
    <row r="1802" spans="1:8" ht="15.6">
      <c r="A1802" s="468" t="s">
        <v>2230</v>
      </c>
      <c r="B1802" s="67">
        <v>71</v>
      </c>
      <c r="C1802" s="69" t="s">
        <v>31</v>
      </c>
      <c r="D1802" s="71" t="s">
        <v>24</v>
      </c>
      <c r="E1802" s="70" t="s">
        <v>286</v>
      </c>
      <c r="F1802" s="74">
        <v>0.57130000000000003</v>
      </c>
      <c r="G1802" s="70" t="s">
        <v>286</v>
      </c>
      <c r="H1802" s="74">
        <v>5.4100000000000002E-2</v>
      </c>
    </row>
    <row r="1803" spans="1:8" ht="15.6">
      <c r="A1803" s="468" t="s">
        <v>2231</v>
      </c>
      <c r="B1803" s="67">
        <v>72</v>
      </c>
      <c r="C1803" s="69" t="s">
        <v>31</v>
      </c>
      <c r="D1803" s="71" t="s">
        <v>37</v>
      </c>
      <c r="E1803" s="70" t="s">
        <v>286</v>
      </c>
      <c r="F1803" s="74">
        <v>0.49609999999999999</v>
      </c>
      <c r="G1803" s="70" t="s">
        <v>286</v>
      </c>
      <c r="H1803" s="74">
        <v>4.5600000000000002E-2</v>
      </c>
    </row>
    <row r="1804" spans="1:8" ht="15.6">
      <c r="A1804" s="468" t="s">
        <v>2232</v>
      </c>
      <c r="B1804" s="67">
        <v>73</v>
      </c>
      <c r="C1804" s="69" t="s">
        <v>31</v>
      </c>
      <c r="D1804" s="71" t="s">
        <v>38</v>
      </c>
      <c r="E1804" s="70" t="s">
        <v>286</v>
      </c>
      <c r="F1804" s="74">
        <v>0.1893</v>
      </c>
      <c r="G1804" s="70" t="s">
        <v>286</v>
      </c>
      <c r="H1804" s="74">
        <v>1.2699999999999999E-2</v>
      </c>
    </row>
    <row r="1805" spans="1:8" ht="15.6">
      <c r="A1805" s="468" t="s">
        <v>2233</v>
      </c>
      <c r="B1805" s="67">
        <v>74</v>
      </c>
      <c r="C1805" s="69" t="s">
        <v>31</v>
      </c>
      <c r="D1805" s="71" t="s">
        <v>26</v>
      </c>
      <c r="E1805" s="70" t="s">
        <v>286</v>
      </c>
      <c r="F1805" s="74">
        <v>0.58169999999999999</v>
      </c>
      <c r="G1805" s="70" t="s">
        <v>286</v>
      </c>
      <c r="H1805" s="74">
        <v>5.5199999999999999E-2</v>
      </c>
    </row>
    <row r="1806" spans="1:8" ht="15.6">
      <c r="A1806" s="468" t="s">
        <v>2234</v>
      </c>
      <c r="B1806" s="67">
        <v>75</v>
      </c>
      <c r="C1806" s="69" t="s">
        <v>31</v>
      </c>
      <c r="D1806" s="71" t="s">
        <v>52</v>
      </c>
      <c r="E1806" s="70" t="s">
        <v>286</v>
      </c>
      <c r="F1806" s="74">
        <v>0.87270000000000003</v>
      </c>
      <c r="G1806" s="70" t="s">
        <v>286</v>
      </c>
      <c r="H1806" s="74">
        <v>9.5200000000000007E-2</v>
      </c>
    </row>
    <row r="1807" spans="1:8" ht="15.6">
      <c r="A1807" s="468" t="s">
        <v>2235</v>
      </c>
      <c r="B1807" s="67">
        <v>76</v>
      </c>
      <c r="C1807" s="69" t="s">
        <v>31</v>
      </c>
      <c r="D1807" s="71" t="s">
        <v>40</v>
      </c>
      <c r="E1807" s="70" t="s">
        <v>286</v>
      </c>
      <c r="F1807" s="74">
        <v>0.52739999999999998</v>
      </c>
      <c r="G1807" s="70" t="s">
        <v>286</v>
      </c>
      <c r="H1807" s="74">
        <v>5.3499999999999999E-2</v>
      </c>
    </row>
    <row r="1808" spans="1:8" ht="15.6">
      <c r="A1808" s="468" t="s">
        <v>2236</v>
      </c>
      <c r="B1808" s="67">
        <v>77</v>
      </c>
      <c r="C1808" s="69" t="s">
        <v>31</v>
      </c>
      <c r="D1808" s="71" t="s">
        <v>34</v>
      </c>
      <c r="E1808" s="70" t="s">
        <v>286</v>
      </c>
      <c r="F1808" s="74">
        <v>1.0892999999999999</v>
      </c>
      <c r="G1808" s="70" t="s">
        <v>286</v>
      </c>
      <c r="H1808" s="74">
        <v>0.12130000000000001</v>
      </c>
    </row>
    <row r="1809" spans="1:8" ht="15.6">
      <c r="A1809" s="468" t="s">
        <v>2237</v>
      </c>
      <c r="B1809" s="67">
        <v>1</v>
      </c>
      <c r="C1809" s="69" t="s">
        <v>31</v>
      </c>
      <c r="D1809" s="71" t="s">
        <v>54</v>
      </c>
      <c r="E1809" s="70" t="s">
        <v>286</v>
      </c>
      <c r="F1809" s="74">
        <v>0.55220000000000002</v>
      </c>
      <c r="G1809" s="70" t="s">
        <v>286</v>
      </c>
      <c r="H1809" s="74">
        <v>5.1900000000000002E-2</v>
      </c>
    </row>
    <row r="1810" spans="1:8" ht="15.6">
      <c r="A1810" s="468" t="s">
        <v>2238</v>
      </c>
      <c r="B1810" s="67">
        <v>2</v>
      </c>
      <c r="C1810" s="69" t="s">
        <v>43</v>
      </c>
      <c r="D1810" s="71" t="s">
        <v>12</v>
      </c>
      <c r="E1810" s="70">
        <v>72.715000000000003</v>
      </c>
      <c r="F1810" s="74">
        <v>2.3906000000000001</v>
      </c>
      <c r="G1810" s="70">
        <v>5.8138699999999996</v>
      </c>
      <c r="H1810" s="74">
        <v>0.19109999999999999</v>
      </c>
    </row>
    <row r="1811" spans="1:8" ht="15.6">
      <c r="A1811" s="468" t="s">
        <v>2239</v>
      </c>
      <c r="B1811" s="67">
        <v>3</v>
      </c>
      <c r="C1811" s="69" t="s">
        <v>43</v>
      </c>
      <c r="D1811" s="71" t="s">
        <v>51</v>
      </c>
      <c r="E1811" s="70">
        <v>62.225499999999997</v>
      </c>
      <c r="F1811" s="74">
        <v>2.0457999999999998</v>
      </c>
      <c r="G1811" s="70">
        <v>4.9308100000000001</v>
      </c>
      <c r="H1811" s="74">
        <v>0.16209999999999999</v>
      </c>
    </row>
    <row r="1812" spans="1:8" ht="15.6">
      <c r="A1812" s="468" t="s">
        <v>2240</v>
      </c>
      <c r="B1812" s="67">
        <v>4</v>
      </c>
      <c r="C1812" s="69" t="s">
        <v>43</v>
      </c>
      <c r="D1812" s="71" t="s">
        <v>13</v>
      </c>
      <c r="E1812" s="70">
        <v>57.927930000000003</v>
      </c>
      <c r="F1812" s="74">
        <v>1.9045000000000001</v>
      </c>
      <c r="G1812" s="70">
        <v>4.5690200000000001</v>
      </c>
      <c r="H1812" s="74">
        <v>0.1502</v>
      </c>
    </row>
    <row r="1813" spans="1:8" ht="15.6">
      <c r="A1813" s="468" t="s">
        <v>2241</v>
      </c>
      <c r="B1813" s="67">
        <v>5</v>
      </c>
      <c r="C1813" s="69" t="s">
        <v>43</v>
      </c>
      <c r="D1813" s="71" t="s">
        <v>9</v>
      </c>
      <c r="E1813" s="70">
        <v>51.42698</v>
      </c>
      <c r="F1813" s="74">
        <v>1.6908000000000001</v>
      </c>
      <c r="G1813" s="70">
        <v>4.0217400000000003</v>
      </c>
      <c r="H1813" s="74">
        <v>0.13220000000000001</v>
      </c>
    </row>
    <row r="1814" spans="1:8" ht="15.6">
      <c r="A1814" s="468" t="s">
        <v>2242</v>
      </c>
      <c r="B1814" s="67">
        <v>6</v>
      </c>
      <c r="C1814" s="69" t="s">
        <v>43</v>
      </c>
      <c r="D1814" s="71" t="s">
        <v>14</v>
      </c>
      <c r="E1814" s="70">
        <v>50.921759999999999</v>
      </c>
      <c r="F1814" s="74">
        <v>1.6740999999999999</v>
      </c>
      <c r="G1814" s="70">
        <v>3.9792000000000001</v>
      </c>
      <c r="H1814" s="74">
        <v>0.1308</v>
      </c>
    </row>
    <row r="1815" spans="1:8" ht="15.6">
      <c r="A1815" s="468" t="s">
        <v>2243</v>
      </c>
      <c r="B1815" s="67">
        <v>7</v>
      </c>
      <c r="C1815" s="69" t="s">
        <v>43</v>
      </c>
      <c r="D1815" s="71" t="s">
        <v>33</v>
      </c>
      <c r="E1815" s="70">
        <v>39.718389999999999</v>
      </c>
      <c r="F1815" s="74">
        <v>1.3058000000000001</v>
      </c>
      <c r="G1815" s="70">
        <v>3.0360200000000002</v>
      </c>
      <c r="H1815" s="74">
        <v>9.98E-2</v>
      </c>
    </row>
    <row r="1816" spans="1:8" ht="15.6">
      <c r="A1816" s="468" t="s">
        <v>2244</v>
      </c>
      <c r="B1816" s="67">
        <v>8</v>
      </c>
      <c r="C1816" s="69" t="s">
        <v>43</v>
      </c>
      <c r="D1816" s="71" t="s">
        <v>25</v>
      </c>
      <c r="E1816" s="70">
        <v>35.118780000000001</v>
      </c>
      <c r="F1816" s="74">
        <v>1.1546000000000001</v>
      </c>
      <c r="G1816" s="70">
        <v>2.6487799999999999</v>
      </c>
      <c r="H1816" s="74">
        <v>8.7099999999999997E-2</v>
      </c>
    </row>
    <row r="1817" spans="1:8" ht="15.6">
      <c r="A1817" s="468" t="s">
        <v>2245</v>
      </c>
      <c r="B1817" s="67">
        <v>9</v>
      </c>
      <c r="C1817" s="69" t="s">
        <v>43</v>
      </c>
      <c r="D1817" s="71" t="s">
        <v>31</v>
      </c>
      <c r="E1817" s="70">
        <v>16.927479999999999</v>
      </c>
      <c r="F1817" s="74">
        <v>0.55649999999999999</v>
      </c>
      <c r="G1817" s="70">
        <v>1.1173599999999999</v>
      </c>
      <c r="H1817" s="74">
        <v>3.6700000000000003E-2</v>
      </c>
    </row>
    <row r="1818" spans="1:8" ht="15.6">
      <c r="A1818" s="468" t="s">
        <v>2246</v>
      </c>
      <c r="B1818" s="67">
        <v>10</v>
      </c>
      <c r="C1818" s="69" t="s">
        <v>43</v>
      </c>
      <c r="D1818" s="71" t="s">
        <v>45</v>
      </c>
      <c r="E1818" s="70">
        <v>27.121020000000001</v>
      </c>
      <c r="F1818" s="74">
        <v>0.89170000000000005</v>
      </c>
      <c r="G1818" s="70">
        <v>1.9755499999999999</v>
      </c>
      <c r="H1818" s="74">
        <v>6.5000000000000002E-2</v>
      </c>
    </row>
    <row r="1819" spans="1:8" ht="15.6">
      <c r="A1819" s="468" t="s">
        <v>2247</v>
      </c>
      <c r="B1819" s="67">
        <v>11</v>
      </c>
      <c r="C1819" s="69" t="s">
        <v>43</v>
      </c>
      <c r="D1819" s="71" t="s">
        <v>27</v>
      </c>
      <c r="E1819" s="70">
        <v>20.825379999999999</v>
      </c>
      <c r="F1819" s="74">
        <v>0.68469999999999998</v>
      </c>
      <c r="G1819" s="70">
        <v>1.4455100000000001</v>
      </c>
      <c r="H1819" s="74">
        <v>4.7500000000000001E-2</v>
      </c>
    </row>
    <row r="1820" spans="1:8" ht="15.6">
      <c r="A1820" s="468" t="s">
        <v>2248</v>
      </c>
      <c r="B1820" s="67">
        <v>12</v>
      </c>
      <c r="C1820" s="69" t="s">
        <v>43</v>
      </c>
      <c r="D1820" s="71" t="s">
        <v>21</v>
      </c>
      <c r="E1820" s="70">
        <v>16.146380000000001</v>
      </c>
      <c r="F1820" s="74">
        <v>0.53080000000000005</v>
      </c>
      <c r="G1820" s="70">
        <v>1.05162</v>
      </c>
      <c r="H1820" s="74">
        <v>3.4599999999999999E-2</v>
      </c>
    </row>
    <row r="1821" spans="1:8" ht="15.6">
      <c r="A1821" s="468" t="s">
        <v>2249</v>
      </c>
      <c r="B1821" s="67">
        <v>13</v>
      </c>
      <c r="C1821" s="69" t="s">
        <v>43</v>
      </c>
      <c r="D1821" s="71" t="s">
        <v>32</v>
      </c>
      <c r="E1821" s="70">
        <v>24.24117</v>
      </c>
      <c r="F1821" s="74">
        <v>0.79700000000000004</v>
      </c>
      <c r="G1821" s="70">
        <v>1.73306</v>
      </c>
      <c r="H1821" s="74">
        <v>5.7000000000000002E-2</v>
      </c>
    </row>
    <row r="1822" spans="1:8" ht="15.6">
      <c r="A1822" s="468" t="s">
        <v>2250</v>
      </c>
      <c r="B1822" s="67">
        <v>14</v>
      </c>
      <c r="C1822" s="69" t="s">
        <v>43</v>
      </c>
      <c r="D1822" s="71" t="s">
        <v>30</v>
      </c>
      <c r="E1822" s="70">
        <v>8.4926399999999997</v>
      </c>
      <c r="F1822" s="74">
        <v>0.2792</v>
      </c>
      <c r="G1822" s="70">
        <v>0.40726000000000001</v>
      </c>
      <c r="H1822" s="74">
        <v>1.34E-2</v>
      </c>
    </row>
    <row r="1823" spans="1:8" ht="15.6">
      <c r="A1823" s="468" t="s">
        <v>2251</v>
      </c>
      <c r="B1823" s="67">
        <v>15</v>
      </c>
      <c r="C1823" s="69" t="s">
        <v>43</v>
      </c>
      <c r="D1823" s="71" t="s">
        <v>28</v>
      </c>
      <c r="E1823" s="70">
        <v>5.5175799999999997</v>
      </c>
      <c r="F1823" s="74">
        <v>0.18140000000000001</v>
      </c>
      <c r="G1823" s="70">
        <v>0.15681999999999999</v>
      </c>
      <c r="H1823" s="74">
        <v>5.1999999999999998E-3</v>
      </c>
    </row>
    <row r="1824" spans="1:8" ht="15.6">
      <c r="A1824" s="468" t="s">
        <v>2252</v>
      </c>
      <c r="B1824" s="67">
        <v>16</v>
      </c>
      <c r="C1824" s="69" t="s">
        <v>43</v>
      </c>
      <c r="D1824" s="71" t="s">
        <v>79</v>
      </c>
      <c r="E1824" s="70">
        <v>4.3206899999999999</v>
      </c>
      <c r="F1824" s="74">
        <v>0.1421</v>
      </c>
      <c r="G1824" s="70">
        <v>5.6059999999999999E-2</v>
      </c>
      <c r="H1824" s="74">
        <v>1.8E-3</v>
      </c>
    </row>
    <row r="1825" spans="1:8" ht="15.6">
      <c r="A1825" s="468" t="s">
        <v>2253</v>
      </c>
      <c r="B1825" s="67">
        <v>17</v>
      </c>
      <c r="C1825" s="69" t="s">
        <v>43</v>
      </c>
      <c r="D1825" s="71" t="s">
        <v>29</v>
      </c>
      <c r="E1825" s="70">
        <v>11.84212</v>
      </c>
      <c r="F1825" s="74">
        <v>0.38929999999999998</v>
      </c>
      <c r="G1825" s="70">
        <v>0.68925999999999998</v>
      </c>
      <c r="H1825" s="74">
        <v>2.2700000000000001E-2</v>
      </c>
    </row>
    <row r="1826" spans="1:8" ht="15.6">
      <c r="A1826" s="468" t="s">
        <v>2254</v>
      </c>
      <c r="B1826" s="67">
        <v>18</v>
      </c>
      <c r="C1826" s="69" t="s">
        <v>43</v>
      </c>
      <c r="D1826" s="71" t="s">
        <v>43</v>
      </c>
      <c r="E1826" s="70">
        <v>4.0423799999999996</v>
      </c>
      <c r="F1826" s="74">
        <v>0.13289999999999999</v>
      </c>
      <c r="G1826" s="70">
        <v>3.261E-2</v>
      </c>
      <c r="H1826" s="74">
        <v>1.1000000000000001E-3</v>
      </c>
    </row>
    <row r="1827" spans="1:8" ht="15.6">
      <c r="A1827" s="468" t="s">
        <v>2255</v>
      </c>
      <c r="B1827" s="67">
        <v>19</v>
      </c>
      <c r="C1827" s="69" t="s">
        <v>43</v>
      </c>
      <c r="D1827" s="71" t="s">
        <v>18</v>
      </c>
      <c r="E1827" s="70">
        <v>6.0583900000000002</v>
      </c>
      <c r="F1827" s="74">
        <v>0.19919999999999999</v>
      </c>
      <c r="G1827" s="70">
        <v>0.20233000000000001</v>
      </c>
      <c r="H1827" s="74">
        <v>6.7000000000000002E-3</v>
      </c>
    </row>
    <row r="1828" spans="1:8" ht="15.6">
      <c r="A1828" s="468" t="s">
        <v>2256</v>
      </c>
      <c r="B1828" s="67">
        <v>20</v>
      </c>
      <c r="C1828" s="69" t="s">
        <v>43</v>
      </c>
      <c r="D1828" s="71" t="s">
        <v>76</v>
      </c>
      <c r="E1828" s="70">
        <v>4.0423799999999996</v>
      </c>
      <c r="F1828" s="74">
        <v>0.13289999999999999</v>
      </c>
      <c r="G1828" s="70">
        <v>3.261E-2</v>
      </c>
      <c r="H1828" s="74">
        <v>1.1000000000000001E-3</v>
      </c>
    </row>
    <row r="1829" spans="1:8" ht="15.6">
      <c r="A1829" s="468" t="s">
        <v>2257</v>
      </c>
      <c r="B1829" s="67">
        <v>21</v>
      </c>
      <c r="C1829" s="69" t="s">
        <v>43</v>
      </c>
      <c r="D1829" s="71" t="s">
        <v>19</v>
      </c>
      <c r="E1829" s="70">
        <v>15.165139999999999</v>
      </c>
      <c r="F1829" s="74">
        <v>0.49859999999999999</v>
      </c>
      <c r="G1829" s="70">
        <v>0.96899999999999997</v>
      </c>
      <c r="H1829" s="74">
        <v>3.1899999999999998E-2</v>
      </c>
    </row>
    <row r="1830" spans="1:8" ht="15.6">
      <c r="A1830" s="468" t="s">
        <v>2258</v>
      </c>
      <c r="B1830" s="67">
        <v>22</v>
      </c>
      <c r="C1830" s="69" t="s">
        <v>43</v>
      </c>
      <c r="D1830" s="71" t="s">
        <v>23</v>
      </c>
      <c r="E1830" s="70">
        <v>11.39043</v>
      </c>
      <c r="F1830" s="74">
        <v>0.3745</v>
      </c>
      <c r="G1830" s="70">
        <v>0.65122000000000002</v>
      </c>
      <c r="H1830" s="74">
        <v>2.1399999999999999E-2</v>
      </c>
    </row>
    <row r="1831" spans="1:8" ht="15.6">
      <c r="A1831" s="468" t="s">
        <v>2259</v>
      </c>
      <c r="B1831" s="67">
        <v>23</v>
      </c>
      <c r="C1831" s="69" t="s">
        <v>43</v>
      </c>
      <c r="D1831" s="71" t="s">
        <v>20</v>
      </c>
      <c r="E1831" s="70">
        <v>19.474879999999999</v>
      </c>
      <c r="F1831" s="74">
        <v>0.64029999999999998</v>
      </c>
      <c r="G1831" s="70">
        <v>1.3318399999999999</v>
      </c>
      <c r="H1831" s="74">
        <v>4.3799999999999999E-2</v>
      </c>
    </row>
    <row r="1832" spans="1:8" ht="15.6">
      <c r="A1832" s="468" t="s">
        <v>2260</v>
      </c>
      <c r="B1832" s="67">
        <v>24</v>
      </c>
      <c r="C1832" s="69" t="s">
        <v>43</v>
      </c>
      <c r="D1832" s="71" t="s">
        <v>53</v>
      </c>
      <c r="E1832" s="70">
        <v>9.5280199999999997</v>
      </c>
      <c r="F1832" s="74">
        <v>0.31330000000000002</v>
      </c>
      <c r="G1832" s="70">
        <v>0.49442000000000003</v>
      </c>
      <c r="H1832" s="74">
        <v>1.6299999999999999E-2</v>
      </c>
    </row>
    <row r="1833" spans="1:8" ht="15.6">
      <c r="A1833" s="468" t="s">
        <v>2261</v>
      </c>
      <c r="B1833" s="67">
        <v>25</v>
      </c>
      <c r="C1833" s="69" t="s">
        <v>43</v>
      </c>
      <c r="D1833" s="71" t="s">
        <v>41</v>
      </c>
      <c r="E1833" s="70">
        <v>9.6150099999999998</v>
      </c>
      <c r="F1833" s="74">
        <v>0.31609999999999999</v>
      </c>
      <c r="G1833" s="70">
        <v>0.50175000000000003</v>
      </c>
      <c r="H1833" s="74">
        <v>1.6500000000000001E-2</v>
      </c>
    </row>
    <row r="1834" spans="1:8" ht="15.6">
      <c r="A1834" s="468" t="s">
        <v>2262</v>
      </c>
      <c r="B1834" s="67">
        <v>26</v>
      </c>
      <c r="C1834" s="69" t="s">
        <v>43</v>
      </c>
      <c r="D1834" s="71" t="s">
        <v>36</v>
      </c>
      <c r="E1834" s="70">
        <v>7.3085199999999997</v>
      </c>
      <c r="F1834" s="74">
        <v>0.24030000000000001</v>
      </c>
      <c r="G1834" s="70">
        <v>0.30760999999999999</v>
      </c>
      <c r="H1834" s="74">
        <v>1.01E-2</v>
      </c>
    </row>
    <row r="1835" spans="1:8" ht="15.6">
      <c r="A1835" s="468" t="s">
        <v>2263</v>
      </c>
      <c r="B1835" s="67">
        <v>27</v>
      </c>
      <c r="C1835" s="69" t="s">
        <v>43</v>
      </c>
      <c r="D1835" s="71" t="s">
        <v>15</v>
      </c>
      <c r="E1835" s="70">
        <v>15.388400000000001</v>
      </c>
      <c r="F1835" s="74">
        <v>0.50590000000000002</v>
      </c>
      <c r="G1835" s="70">
        <v>0.98780999999999997</v>
      </c>
      <c r="H1835" s="74">
        <v>3.2500000000000001E-2</v>
      </c>
    </row>
    <row r="1836" spans="1:8" ht="15.6">
      <c r="A1836" s="468" t="s">
        <v>2264</v>
      </c>
      <c r="B1836" s="67">
        <v>28</v>
      </c>
      <c r="C1836" s="69" t="s">
        <v>43</v>
      </c>
      <c r="D1836" s="71" t="s">
        <v>16</v>
      </c>
      <c r="E1836" s="70">
        <v>24.000879999999999</v>
      </c>
      <c r="F1836" s="74">
        <v>0.78910000000000002</v>
      </c>
      <c r="G1836" s="70">
        <v>1.7128699999999999</v>
      </c>
      <c r="H1836" s="74">
        <v>5.6300000000000003E-2</v>
      </c>
    </row>
    <row r="1837" spans="1:8" ht="15.6">
      <c r="A1837" s="468" t="s">
        <v>2265</v>
      </c>
      <c r="B1837" s="67">
        <v>29</v>
      </c>
      <c r="C1837" s="69" t="s">
        <v>43</v>
      </c>
      <c r="D1837" s="71" t="s">
        <v>17</v>
      </c>
      <c r="E1837" s="70">
        <v>47.972560000000001</v>
      </c>
      <c r="F1837" s="74">
        <v>1.5771999999999999</v>
      </c>
      <c r="G1837" s="70">
        <v>3.7309100000000002</v>
      </c>
      <c r="H1837" s="74">
        <v>0.1227</v>
      </c>
    </row>
    <row r="1838" spans="1:8" ht="15.6">
      <c r="A1838" s="468" t="s">
        <v>2266</v>
      </c>
      <c r="B1838" s="67">
        <v>30</v>
      </c>
      <c r="C1838" s="69" t="s">
        <v>43</v>
      </c>
      <c r="D1838" s="71" t="s">
        <v>10</v>
      </c>
      <c r="E1838" s="70">
        <v>47.972560000000001</v>
      </c>
      <c r="F1838" s="74">
        <v>1.5771999999999999</v>
      </c>
      <c r="G1838" s="70">
        <v>3.7309100000000002</v>
      </c>
      <c r="H1838" s="74">
        <v>0.1227</v>
      </c>
    </row>
    <row r="1839" spans="1:8" ht="15.6">
      <c r="A1839" s="468" t="s">
        <v>2267</v>
      </c>
      <c r="B1839" s="67">
        <v>31</v>
      </c>
      <c r="C1839" s="69" t="s">
        <v>43</v>
      </c>
      <c r="D1839" s="71" t="s">
        <v>22</v>
      </c>
      <c r="E1839" s="70">
        <v>14.364269999999999</v>
      </c>
      <c r="F1839" s="74">
        <v>0.4723</v>
      </c>
      <c r="G1839" s="70">
        <v>0.90158000000000005</v>
      </c>
      <c r="H1839" s="74">
        <v>2.9600000000000001E-2</v>
      </c>
    </row>
    <row r="1840" spans="1:8" ht="15.6">
      <c r="A1840" s="468" t="s">
        <v>2268</v>
      </c>
      <c r="B1840" s="67">
        <v>32</v>
      </c>
      <c r="C1840" s="69" t="s">
        <v>43</v>
      </c>
      <c r="D1840" s="71" t="s">
        <v>35</v>
      </c>
      <c r="E1840" s="70">
        <v>4.9661299999999997</v>
      </c>
      <c r="F1840" s="74">
        <v>0.1633</v>
      </c>
      <c r="G1840" s="70">
        <v>0.11039</v>
      </c>
      <c r="H1840" s="74">
        <v>3.5999999999999999E-3</v>
      </c>
    </row>
    <row r="1841" spans="1:8" ht="15.6">
      <c r="A1841" s="468" t="s">
        <v>2269</v>
      </c>
      <c r="B1841" s="67">
        <v>33</v>
      </c>
      <c r="C1841" s="69" t="s">
        <v>43</v>
      </c>
      <c r="D1841" s="71" t="s">
        <v>24</v>
      </c>
      <c r="E1841" s="70">
        <v>19.103490000000001</v>
      </c>
      <c r="F1841" s="74">
        <v>0.62809999999999999</v>
      </c>
      <c r="G1841" s="70">
        <v>1.30054</v>
      </c>
      <c r="H1841" s="74">
        <v>4.2799999999999998E-2</v>
      </c>
    </row>
    <row r="1842" spans="1:8" ht="15.6">
      <c r="A1842" s="468" t="s">
        <v>2270</v>
      </c>
      <c r="B1842" s="67">
        <v>34</v>
      </c>
      <c r="C1842" s="69" t="s">
        <v>43</v>
      </c>
      <c r="D1842" s="71" t="s">
        <v>37</v>
      </c>
      <c r="E1842" s="70">
        <v>7.2510300000000001</v>
      </c>
      <c r="F1842" s="74">
        <v>0.2384</v>
      </c>
      <c r="G1842" s="70">
        <v>0.30274000000000001</v>
      </c>
      <c r="H1842" s="74">
        <v>0.01</v>
      </c>
    </row>
    <row r="1843" spans="1:8" ht="15.6">
      <c r="A1843" s="468" t="s">
        <v>2271</v>
      </c>
      <c r="B1843" s="67">
        <v>35</v>
      </c>
      <c r="C1843" s="69" t="s">
        <v>43</v>
      </c>
      <c r="D1843" s="71" t="s">
        <v>38</v>
      </c>
      <c r="E1843" s="70">
        <v>12.73394</v>
      </c>
      <c r="F1843" s="74">
        <v>0.41870000000000002</v>
      </c>
      <c r="G1843" s="70">
        <v>0.76432999999999995</v>
      </c>
      <c r="H1843" s="74">
        <v>2.5100000000000001E-2</v>
      </c>
    </row>
    <row r="1844" spans="1:8" ht="15.6">
      <c r="A1844" s="468" t="s">
        <v>2272</v>
      </c>
      <c r="B1844" s="67">
        <v>36</v>
      </c>
      <c r="C1844" s="69" t="s">
        <v>43</v>
      </c>
      <c r="D1844" s="71" t="s">
        <v>26</v>
      </c>
      <c r="E1844" s="70">
        <v>19.525680000000001</v>
      </c>
      <c r="F1844" s="74">
        <v>0.64190000000000003</v>
      </c>
      <c r="G1844" s="70">
        <v>1.3360799999999999</v>
      </c>
      <c r="H1844" s="74">
        <v>4.3900000000000002E-2</v>
      </c>
    </row>
    <row r="1845" spans="1:8" ht="15.6">
      <c r="A1845" s="468" t="s">
        <v>2273</v>
      </c>
      <c r="B1845" s="67">
        <v>37</v>
      </c>
      <c r="C1845" s="69" t="s">
        <v>43</v>
      </c>
      <c r="D1845" s="71" t="s">
        <v>52</v>
      </c>
      <c r="E1845" s="70">
        <v>50.921759999999999</v>
      </c>
      <c r="F1845" s="74">
        <v>1.6740999999999999</v>
      </c>
      <c r="G1845" s="70">
        <v>3.9792000000000001</v>
      </c>
      <c r="H1845" s="74">
        <v>0.1308</v>
      </c>
    </row>
    <row r="1846" spans="1:8" ht="15.6">
      <c r="A1846" s="468" t="s">
        <v>2274</v>
      </c>
      <c r="B1846" s="67">
        <v>38</v>
      </c>
      <c r="C1846" s="69" t="s">
        <v>43</v>
      </c>
      <c r="D1846" s="71" t="s">
        <v>40</v>
      </c>
      <c r="E1846" s="70">
        <v>10.103809999999999</v>
      </c>
      <c r="F1846" s="74">
        <v>0.3322</v>
      </c>
      <c r="G1846" s="70">
        <v>0.54293000000000002</v>
      </c>
      <c r="H1846" s="74">
        <v>1.7899999999999999E-2</v>
      </c>
    </row>
    <row r="1847" spans="1:8" ht="15.6">
      <c r="A1847" s="468" t="s">
        <v>2275</v>
      </c>
      <c r="B1847" s="67">
        <v>39</v>
      </c>
      <c r="C1847" s="69" t="s">
        <v>43</v>
      </c>
      <c r="D1847" s="71" t="s">
        <v>34</v>
      </c>
      <c r="E1847" s="70">
        <v>57.927930000000003</v>
      </c>
      <c r="F1847" s="74">
        <v>1.9045000000000001</v>
      </c>
      <c r="G1847" s="70">
        <v>4.5690200000000001</v>
      </c>
      <c r="H1847" s="74">
        <v>0.1502</v>
      </c>
    </row>
    <row r="1848" spans="1:8" ht="15.6">
      <c r="A1848" s="468" t="s">
        <v>2276</v>
      </c>
      <c r="B1848" s="67">
        <v>40</v>
      </c>
      <c r="C1848" s="69" t="s">
        <v>43</v>
      </c>
      <c r="D1848" s="71" t="s">
        <v>54</v>
      </c>
      <c r="E1848" s="70">
        <v>9.5280199999999997</v>
      </c>
      <c r="F1848" s="74">
        <v>0.31330000000000002</v>
      </c>
      <c r="G1848" s="70">
        <v>0.49442000000000003</v>
      </c>
      <c r="H1848" s="74">
        <v>1.6299999999999999E-2</v>
      </c>
    </row>
    <row r="1849" spans="1:8" ht="15.6">
      <c r="A1849" s="468" t="s">
        <v>2277</v>
      </c>
      <c r="B1849" s="67">
        <v>41</v>
      </c>
      <c r="C1849" s="69" t="s">
        <v>32</v>
      </c>
      <c r="D1849" s="71" t="s">
        <v>12</v>
      </c>
      <c r="E1849" s="70" t="s">
        <v>286</v>
      </c>
      <c r="F1849" s="74">
        <v>1.2958000000000001</v>
      </c>
      <c r="G1849" s="70" t="s">
        <v>286</v>
      </c>
      <c r="H1849" s="74">
        <v>0.1462</v>
      </c>
    </row>
    <row r="1850" spans="1:8" ht="15.6">
      <c r="A1850" s="468" t="s">
        <v>2278</v>
      </c>
      <c r="B1850" s="67">
        <v>42</v>
      </c>
      <c r="C1850" s="69" t="s">
        <v>32</v>
      </c>
      <c r="D1850" s="71" t="s">
        <v>51</v>
      </c>
      <c r="E1850" s="70" t="s">
        <v>286</v>
      </c>
      <c r="F1850" s="74">
        <v>1.0550999999999999</v>
      </c>
      <c r="G1850" s="70" t="s">
        <v>286</v>
      </c>
      <c r="H1850" s="74">
        <v>0.1172</v>
      </c>
    </row>
    <row r="1851" spans="1:8" ht="15.6">
      <c r="A1851" s="468" t="s">
        <v>2279</v>
      </c>
      <c r="B1851" s="67">
        <v>43</v>
      </c>
      <c r="C1851" s="69" t="s">
        <v>32</v>
      </c>
      <c r="D1851" s="71" t="s">
        <v>13</v>
      </c>
      <c r="E1851" s="70" t="s">
        <v>286</v>
      </c>
      <c r="F1851" s="74">
        <v>0.95650000000000002</v>
      </c>
      <c r="G1851" s="70" t="s">
        <v>286</v>
      </c>
      <c r="H1851" s="74">
        <v>0.1053</v>
      </c>
    </row>
    <row r="1852" spans="1:8" ht="15.6">
      <c r="A1852" s="468" t="s">
        <v>2280</v>
      </c>
      <c r="B1852" s="67">
        <v>44</v>
      </c>
      <c r="C1852" s="69" t="s">
        <v>32</v>
      </c>
      <c r="D1852" s="71" t="s">
        <v>9</v>
      </c>
      <c r="E1852" s="70" t="s">
        <v>286</v>
      </c>
      <c r="F1852" s="74">
        <v>0.80740000000000001</v>
      </c>
      <c r="G1852" s="70" t="s">
        <v>286</v>
      </c>
      <c r="H1852" s="74">
        <v>8.7300000000000003E-2</v>
      </c>
    </row>
    <row r="1853" spans="1:8" ht="15.6">
      <c r="A1853" s="468" t="s">
        <v>2281</v>
      </c>
      <c r="B1853" s="67">
        <v>45</v>
      </c>
      <c r="C1853" s="69" t="s">
        <v>32</v>
      </c>
      <c r="D1853" s="71" t="s">
        <v>14</v>
      </c>
      <c r="E1853" s="70" t="s">
        <v>286</v>
      </c>
      <c r="F1853" s="74">
        <v>0.80679999999999996</v>
      </c>
      <c r="G1853" s="70" t="s">
        <v>286</v>
      </c>
      <c r="H1853" s="74">
        <v>8.72E-2</v>
      </c>
    </row>
    <row r="1854" spans="1:8" ht="15.6">
      <c r="A1854" s="468" t="s">
        <v>2282</v>
      </c>
      <c r="B1854" s="67">
        <v>46</v>
      </c>
      <c r="C1854" s="69" t="s">
        <v>32</v>
      </c>
      <c r="D1854" s="71" t="s">
        <v>33</v>
      </c>
      <c r="E1854" s="70" t="s">
        <v>286</v>
      </c>
      <c r="F1854" s="74">
        <v>1.0857000000000001</v>
      </c>
      <c r="G1854" s="70" t="s">
        <v>286</v>
      </c>
      <c r="H1854" s="74">
        <v>0.12089999999999999</v>
      </c>
    </row>
    <row r="1855" spans="1:8" ht="15.6">
      <c r="A1855" s="468" t="s">
        <v>2283</v>
      </c>
      <c r="B1855" s="67">
        <v>47</v>
      </c>
      <c r="C1855" s="69" t="s">
        <v>32</v>
      </c>
      <c r="D1855" s="71" t="s">
        <v>25</v>
      </c>
      <c r="E1855" s="70" t="s">
        <v>286</v>
      </c>
      <c r="F1855" s="74">
        <v>1.1694</v>
      </c>
      <c r="G1855" s="70" t="s">
        <v>286</v>
      </c>
      <c r="H1855" s="74">
        <v>0.13100000000000001</v>
      </c>
    </row>
    <row r="1856" spans="1:8" ht="15.6">
      <c r="A1856" s="468" t="s">
        <v>2284</v>
      </c>
      <c r="B1856" s="67">
        <v>48</v>
      </c>
      <c r="C1856" s="69" t="s">
        <v>32</v>
      </c>
      <c r="D1856" s="71" t="s">
        <v>31</v>
      </c>
      <c r="E1856" s="70" t="s">
        <v>286</v>
      </c>
      <c r="F1856" s="74">
        <v>0.8518</v>
      </c>
      <c r="G1856" s="70" t="s">
        <v>286</v>
      </c>
      <c r="H1856" s="74">
        <v>9.2600000000000002E-2</v>
      </c>
    </row>
    <row r="1857" spans="1:8" ht="15.6">
      <c r="A1857" s="468" t="s">
        <v>2285</v>
      </c>
      <c r="B1857" s="67">
        <v>49</v>
      </c>
      <c r="C1857" s="69" t="s">
        <v>32</v>
      </c>
      <c r="D1857" s="71" t="s">
        <v>45</v>
      </c>
      <c r="E1857" s="70" t="s">
        <v>286</v>
      </c>
      <c r="F1857" s="74">
        <v>1.0855999999999999</v>
      </c>
      <c r="G1857" s="70" t="s">
        <v>286</v>
      </c>
      <c r="H1857" s="74">
        <v>0.12089999999999999</v>
      </c>
    </row>
    <row r="1858" spans="1:8" ht="15.6">
      <c r="A1858" s="468" t="s">
        <v>2286</v>
      </c>
      <c r="B1858" s="67">
        <v>50</v>
      </c>
      <c r="C1858" s="69" t="s">
        <v>32</v>
      </c>
      <c r="D1858" s="71" t="s">
        <v>27</v>
      </c>
      <c r="E1858" s="70" t="s">
        <v>286</v>
      </c>
      <c r="F1858" s="74">
        <v>0.94120000000000004</v>
      </c>
      <c r="G1858" s="70" t="s">
        <v>286</v>
      </c>
      <c r="H1858" s="74">
        <v>0.10340000000000001</v>
      </c>
    </row>
    <row r="1859" spans="1:8" ht="15.6">
      <c r="A1859" s="468" t="s">
        <v>2287</v>
      </c>
      <c r="B1859" s="67">
        <v>51</v>
      </c>
      <c r="C1859" s="69" t="s">
        <v>32</v>
      </c>
      <c r="D1859" s="71" t="s">
        <v>21</v>
      </c>
      <c r="E1859" s="70" t="s">
        <v>286</v>
      </c>
      <c r="F1859" s="74">
        <v>0.83389999999999997</v>
      </c>
      <c r="G1859" s="70" t="s">
        <v>286</v>
      </c>
      <c r="H1859" s="74">
        <v>9.0499999999999997E-2</v>
      </c>
    </row>
    <row r="1860" spans="1:8" ht="15.6">
      <c r="A1860" s="468" t="s">
        <v>2288</v>
      </c>
      <c r="B1860" s="67">
        <v>52</v>
      </c>
      <c r="C1860" s="69" t="s">
        <v>32</v>
      </c>
      <c r="D1860" s="71" t="s">
        <v>32</v>
      </c>
      <c r="E1860" s="70" t="s">
        <v>286</v>
      </c>
      <c r="F1860" s="74">
        <v>9.2700000000000005E-2</v>
      </c>
      <c r="G1860" s="70" t="s">
        <v>286</v>
      </c>
      <c r="H1860" s="74">
        <v>1.1000000000000001E-3</v>
      </c>
    </row>
    <row r="1861" spans="1:8" ht="15.6">
      <c r="A1861" s="468" t="s">
        <v>2289</v>
      </c>
      <c r="B1861" s="67">
        <v>53</v>
      </c>
      <c r="C1861" s="69" t="s">
        <v>32</v>
      </c>
      <c r="D1861" s="71" t="s">
        <v>30</v>
      </c>
      <c r="E1861" s="70" t="s">
        <v>286</v>
      </c>
      <c r="F1861" s="74">
        <v>0.70679999999999998</v>
      </c>
      <c r="G1861" s="70" t="s">
        <v>286</v>
      </c>
      <c r="H1861" s="74">
        <v>6.93E-2</v>
      </c>
    </row>
    <row r="1862" spans="1:8" ht="15.6">
      <c r="A1862" s="468" t="s">
        <v>2290</v>
      </c>
      <c r="B1862" s="67">
        <v>54</v>
      </c>
      <c r="C1862" s="69" t="s">
        <v>32</v>
      </c>
      <c r="D1862" s="71" t="s">
        <v>28</v>
      </c>
      <c r="E1862" s="70" t="s">
        <v>286</v>
      </c>
      <c r="F1862" s="74">
        <v>0.59399999999999997</v>
      </c>
      <c r="G1862" s="70" t="s">
        <v>286</v>
      </c>
      <c r="H1862" s="74">
        <v>5.6599999999999998E-2</v>
      </c>
    </row>
    <row r="1863" spans="1:8" ht="15.6">
      <c r="A1863" s="468" t="s">
        <v>2291</v>
      </c>
      <c r="B1863" s="67">
        <v>55</v>
      </c>
      <c r="C1863" s="69" t="s">
        <v>32</v>
      </c>
      <c r="D1863" s="71" t="s">
        <v>79</v>
      </c>
      <c r="E1863" s="70" t="s">
        <v>286</v>
      </c>
      <c r="F1863" s="74">
        <v>0.60399999999999998</v>
      </c>
      <c r="G1863" s="70" t="s">
        <v>286</v>
      </c>
      <c r="H1863" s="74">
        <v>5.7799999999999997E-2</v>
      </c>
    </row>
    <row r="1864" spans="1:8" ht="15.6">
      <c r="A1864" s="468" t="s">
        <v>2292</v>
      </c>
      <c r="B1864" s="67">
        <v>56</v>
      </c>
      <c r="C1864" s="69" t="s">
        <v>32</v>
      </c>
      <c r="D1864" s="71" t="s">
        <v>29</v>
      </c>
      <c r="E1864" s="70" t="s">
        <v>286</v>
      </c>
      <c r="F1864" s="74">
        <v>0.7893</v>
      </c>
      <c r="G1864" s="70" t="s">
        <v>286</v>
      </c>
      <c r="H1864" s="74">
        <v>7.8600000000000003E-2</v>
      </c>
    </row>
    <row r="1865" spans="1:8" ht="15.6">
      <c r="A1865" s="468" t="s">
        <v>2293</v>
      </c>
      <c r="B1865" s="67">
        <v>57</v>
      </c>
      <c r="C1865" s="69" t="s">
        <v>32</v>
      </c>
      <c r="D1865" s="71" t="s">
        <v>43</v>
      </c>
      <c r="E1865" s="70" t="s">
        <v>286</v>
      </c>
      <c r="F1865" s="74">
        <v>0.59719999999999995</v>
      </c>
      <c r="G1865" s="70" t="s">
        <v>286</v>
      </c>
      <c r="H1865" s="74">
        <v>5.7000000000000002E-2</v>
      </c>
    </row>
    <row r="1866" spans="1:8" ht="15.6">
      <c r="A1866" s="468" t="s">
        <v>2294</v>
      </c>
      <c r="B1866" s="67">
        <v>58</v>
      </c>
      <c r="C1866" s="69" t="s">
        <v>32</v>
      </c>
      <c r="D1866" s="71" t="s">
        <v>18</v>
      </c>
      <c r="E1866" s="70" t="s">
        <v>286</v>
      </c>
      <c r="F1866" s="74">
        <v>0.64049999999999996</v>
      </c>
      <c r="G1866" s="70" t="s">
        <v>286</v>
      </c>
      <c r="H1866" s="74">
        <v>6.1800000000000001E-2</v>
      </c>
    </row>
    <row r="1867" spans="1:8" ht="15.6">
      <c r="A1867" s="468" t="s">
        <v>2295</v>
      </c>
      <c r="B1867" s="67">
        <v>59</v>
      </c>
      <c r="C1867" s="69" t="s">
        <v>32</v>
      </c>
      <c r="D1867" s="71" t="s">
        <v>76</v>
      </c>
      <c r="E1867" s="70" t="s">
        <v>286</v>
      </c>
      <c r="F1867" s="74">
        <v>0.59719999999999995</v>
      </c>
      <c r="G1867" s="70" t="s">
        <v>286</v>
      </c>
      <c r="H1867" s="74">
        <v>5.7000000000000002E-2</v>
      </c>
    </row>
    <row r="1868" spans="1:8" ht="15.6">
      <c r="A1868" s="468" t="s">
        <v>2296</v>
      </c>
      <c r="B1868" s="67">
        <v>60</v>
      </c>
      <c r="C1868" s="69" t="s">
        <v>32</v>
      </c>
      <c r="D1868" s="71" t="s">
        <v>19</v>
      </c>
      <c r="E1868" s="70" t="s">
        <v>286</v>
      </c>
      <c r="F1868" s="74">
        <v>0.87119999999999997</v>
      </c>
      <c r="G1868" s="70" t="s">
        <v>286</v>
      </c>
      <c r="H1868" s="74">
        <v>8.7800000000000003E-2</v>
      </c>
    </row>
    <row r="1869" spans="1:8" ht="15.6">
      <c r="A1869" s="468" t="s">
        <v>2297</v>
      </c>
      <c r="B1869" s="67">
        <v>61</v>
      </c>
      <c r="C1869" s="69" t="s">
        <v>32</v>
      </c>
      <c r="D1869" s="71" t="s">
        <v>23</v>
      </c>
      <c r="E1869" s="70" t="s">
        <v>286</v>
      </c>
      <c r="F1869" s="74">
        <v>0.7782</v>
      </c>
      <c r="G1869" s="70" t="s">
        <v>286</v>
      </c>
      <c r="H1869" s="74">
        <v>7.7299999999999994E-2</v>
      </c>
    </row>
    <row r="1870" spans="1:8" ht="15.6">
      <c r="A1870" s="468" t="s">
        <v>2298</v>
      </c>
      <c r="B1870" s="67">
        <v>62</v>
      </c>
      <c r="C1870" s="69" t="s">
        <v>32</v>
      </c>
      <c r="D1870" s="71" t="s">
        <v>20</v>
      </c>
      <c r="E1870" s="70" t="s">
        <v>286</v>
      </c>
      <c r="F1870" s="74">
        <v>0.97729999999999995</v>
      </c>
      <c r="G1870" s="70" t="s">
        <v>286</v>
      </c>
      <c r="H1870" s="74">
        <v>9.9699999999999997E-2</v>
      </c>
    </row>
    <row r="1871" spans="1:8" ht="15.6">
      <c r="A1871" s="468" t="s">
        <v>2299</v>
      </c>
      <c r="B1871" s="67">
        <v>63</v>
      </c>
      <c r="C1871" s="69" t="s">
        <v>32</v>
      </c>
      <c r="D1871" s="71" t="s">
        <v>53</v>
      </c>
      <c r="E1871" s="70" t="s">
        <v>286</v>
      </c>
      <c r="F1871" s="74">
        <v>0.46200000000000002</v>
      </c>
      <c r="G1871" s="70" t="s">
        <v>286</v>
      </c>
      <c r="H1871" s="74">
        <v>4.1799999999999997E-2</v>
      </c>
    </row>
    <row r="1872" spans="1:8" ht="15.6">
      <c r="A1872" s="468" t="s">
        <v>2300</v>
      </c>
      <c r="B1872" s="67">
        <v>64</v>
      </c>
      <c r="C1872" s="69" t="s">
        <v>32</v>
      </c>
      <c r="D1872" s="71" t="s">
        <v>41</v>
      </c>
      <c r="E1872" s="70" t="s">
        <v>286</v>
      </c>
      <c r="F1872" s="74">
        <v>0.45989999999999998</v>
      </c>
      <c r="G1872" s="70" t="s">
        <v>286</v>
      </c>
      <c r="H1872" s="74">
        <v>4.1599999999999998E-2</v>
      </c>
    </row>
    <row r="1873" spans="1:8" ht="15.6">
      <c r="A1873" s="468" t="s">
        <v>2301</v>
      </c>
      <c r="B1873" s="67">
        <v>65</v>
      </c>
      <c r="C1873" s="69" t="s">
        <v>32</v>
      </c>
      <c r="D1873" s="71" t="s">
        <v>36</v>
      </c>
      <c r="E1873" s="70" t="s">
        <v>286</v>
      </c>
      <c r="F1873" s="74">
        <v>0.64219999999999999</v>
      </c>
      <c r="G1873" s="70" t="s">
        <v>286</v>
      </c>
      <c r="H1873" s="74">
        <v>6.2E-2</v>
      </c>
    </row>
    <row r="1874" spans="1:8" ht="15.6">
      <c r="A1874" s="468" t="s">
        <v>2302</v>
      </c>
      <c r="B1874" s="67">
        <v>66</v>
      </c>
      <c r="C1874" s="69" t="s">
        <v>32</v>
      </c>
      <c r="D1874" s="71" t="s">
        <v>15</v>
      </c>
      <c r="E1874" s="70" t="s">
        <v>286</v>
      </c>
      <c r="F1874" s="74">
        <v>0.87670000000000003</v>
      </c>
      <c r="G1874" s="70" t="s">
        <v>286</v>
      </c>
      <c r="H1874" s="74">
        <v>8.8400000000000006E-2</v>
      </c>
    </row>
    <row r="1875" spans="1:8" ht="15.6">
      <c r="A1875" s="468" t="s">
        <v>2303</v>
      </c>
      <c r="B1875" s="67">
        <v>67</v>
      </c>
      <c r="C1875" s="69" t="s">
        <v>32</v>
      </c>
      <c r="D1875" s="71" t="s">
        <v>16</v>
      </c>
      <c r="E1875" s="70" t="s">
        <v>286</v>
      </c>
      <c r="F1875" s="74">
        <v>1.0889</v>
      </c>
      <c r="G1875" s="70" t="s">
        <v>286</v>
      </c>
      <c r="H1875" s="74">
        <v>0.11219999999999999</v>
      </c>
    </row>
    <row r="1876" spans="1:8" ht="15.6">
      <c r="A1876" s="468" t="s">
        <v>2304</v>
      </c>
      <c r="B1876" s="67">
        <v>68</v>
      </c>
      <c r="C1876" s="69" t="s">
        <v>32</v>
      </c>
      <c r="D1876" s="71" t="s">
        <v>17</v>
      </c>
      <c r="E1876" s="70" t="s">
        <v>286</v>
      </c>
      <c r="F1876" s="74">
        <v>0.72809999999999997</v>
      </c>
      <c r="G1876" s="70" t="s">
        <v>286</v>
      </c>
      <c r="H1876" s="74">
        <v>7.7700000000000005E-2</v>
      </c>
    </row>
    <row r="1877" spans="1:8" ht="15.6">
      <c r="A1877" s="468" t="s">
        <v>2305</v>
      </c>
      <c r="B1877" s="67">
        <v>69</v>
      </c>
      <c r="C1877" s="69" t="s">
        <v>32</v>
      </c>
      <c r="D1877" s="71" t="s">
        <v>10</v>
      </c>
      <c r="E1877" s="70" t="s">
        <v>286</v>
      </c>
      <c r="F1877" s="74">
        <v>0.72809999999999997</v>
      </c>
      <c r="G1877" s="70" t="s">
        <v>286</v>
      </c>
      <c r="H1877" s="74">
        <v>7.7700000000000005E-2</v>
      </c>
    </row>
    <row r="1878" spans="1:8" ht="15.6">
      <c r="A1878" s="468" t="s">
        <v>2306</v>
      </c>
      <c r="B1878" s="67">
        <v>70</v>
      </c>
      <c r="C1878" s="69" t="s">
        <v>32</v>
      </c>
      <c r="D1878" s="71" t="s">
        <v>22</v>
      </c>
      <c r="E1878" s="70" t="s">
        <v>286</v>
      </c>
      <c r="F1878" s="74">
        <v>0.85150000000000003</v>
      </c>
      <c r="G1878" s="70" t="s">
        <v>286</v>
      </c>
      <c r="H1878" s="74">
        <v>8.5599999999999996E-2</v>
      </c>
    </row>
    <row r="1879" spans="1:8" ht="15.6">
      <c r="A1879" s="468" t="s">
        <v>2307</v>
      </c>
      <c r="B1879" s="67">
        <v>71</v>
      </c>
      <c r="C1879" s="69" t="s">
        <v>32</v>
      </c>
      <c r="D1879" s="71" t="s">
        <v>35</v>
      </c>
      <c r="E1879" s="70" t="s">
        <v>286</v>
      </c>
      <c r="F1879" s="74">
        <v>0.57440000000000002</v>
      </c>
      <c r="G1879" s="70" t="s">
        <v>286</v>
      </c>
      <c r="H1879" s="74">
        <v>5.4399999999999997E-2</v>
      </c>
    </row>
    <row r="1880" spans="1:8" ht="15.6">
      <c r="A1880" s="468" t="s">
        <v>2308</v>
      </c>
      <c r="B1880" s="67">
        <v>72</v>
      </c>
      <c r="C1880" s="69" t="s">
        <v>32</v>
      </c>
      <c r="D1880" s="71" t="s">
        <v>24</v>
      </c>
      <c r="E1880" s="70" t="s">
        <v>286</v>
      </c>
      <c r="F1880" s="74">
        <v>0.96819999999999995</v>
      </c>
      <c r="G1880" s="70" t="s">
        <v>286</v>
      </c>
      <c r="H1880" s="74">
        <v>9.8699999999999996E-2</v>
      </c>
    </row>
    <row r="1881" spans="1:8" ht="15.6">
      <c r="A1881" s="468" t="s">
        <v>2309</v>
      </c>
      <c r="B1881" s="67">
        <v>73</v>
      </c>
      <c r="C1881" s="69" t="s">
        <v>32</v>
      </c>
      <c r="D1881" s="71" t="s">
        <v>37</v>
      </c>
      <c r="E1881" s="70" t="s">
        <v>286</v>
      </c>
      <c r="F1881" s="74">
        <v>0.64080000000000004</v>
      </c>
      <c r="G1881" s="70" t="s">
        <v>286</v>
      </c>
      <c r="H1881" s="74">
        <v>6.1899999999999997E-2</v>
      </c>
    </row>
    <row r="1882" spans="1:8" ht="15.6">
      <c r="A1882" s="468" t="s">
        <v>2310</v>
      </c>
      <c r="B1882" s="67">
        <v>74</v>
      </c>
      <c r="C1882" s="69" t="s">
        <v>32</v>
      </c>
      <c r="D1882" s="71" t="s">
        <v>38</v>
      </c>
      <c r="E1882" s="70" t="s">
        <v>286</v>
      </c>
      <c r="F1882" s="74">
        <v>0.75560000000000005</v>
      </c>
      <c r="G1882" s="70" t="s">
        <v>286</v>
      </c>
      <c r="H1882" s="74">
        <v>8.1000000000000003E-2</v>
      </c>
    </row>
    <row r="1883" spans="1:8" ht="15.6">
      <c r="A1883" s="468" t="s">
        <v>2311</v>
      </c>
      <c r="B1883" s="67">
        <v>75</v>
      </c>
      <c r="C1883" s="69" t="s">
        <v>32</v>
      </c>
      <c r="D1883" s="71" t="s">
        <v>26</v>
      </c>
      <c r="E1883" s="70" t="s">
        <v>286</v>
      </c>
      <c r="F1883" s="74">
        <v>0.97860000000000003</v>
      </c>
      <c r="G1883" s="70" t="s">
        <v>286</v>
      </c>
      <c r="H1883" s="74">
        <v>9.98E-2</v>
      </c>
    </row>
    <row r="1884" spans="1:8" ht="15.6">
      <c r="A1884" s="468" t="s">
        <v>2312</v>
      </c>
      <c r="B1884" s="67">
        <v>76</v>
      </c>
      <c r="C1884" s="69" t="s">
        <v>32</v>
      </c>
      <c r="D1884" s="71" t="s">
        <v>52</v>
      </c>
      <c r="E1884" s="70" t="s">
        <v>286</v>
      </c>
      <c r="F1884" s="74">
        <v>0.80679999999999996</v>
      </c>
      <c r="G1884" s="70" t="s">
        <v>286</v>
      </c>
      <c r="H1884" s="74">
        <v>8.72E-2</v>
      </c>
    </row>
    <row r="1885" spans="1:8" ht="15.6">
      <c r="A1885" s="468" t="s">
        <v>2313</v>
      </c>
      <c r="B1885" s="67">
        <v>77</v>
      </c>
      <c r="C1885" s="69" t="s">
        <v>32</v>
      </c>
      <c r="D1885" s="71" t="s">
        <v>40</v>
      </c>
      <c r="E1885" s="70" t="s">
        <v>286</v>
      </c>
      <c r="F1885" s="74">
        <v>0.41710000000000003</v>
      </c>
      <c r="G1885" s="70" t="s">
        <v>286</v>
      </c>
      <c r="H1885" s="74">
        <v>4.02E-2</v>
      </c>
    </row>
    <row r="1886" spans="1:8" ht="15.6">
      <c r="A1886" s="468" t="s">
        <v>2314</v>
      </c>
      <c r="B1886" s="67">
        <v>1</v>
      </c>
      <c r="C1886" s="69" t="s">
        <v>32</v>
      </c>
      <c r="D1886" s="71" t="s">
        <v>34</v>
      </c>
      <c r="E1886" s="70" t="s">
        <v>286</v>
      </c>
      <c r="F1886" s="74">
        <v>0.95650000000000002</v>
      </c>
      <c r="G1886" s="70" t="s">
        <v>286</v>
      </c>
      <c r="H1886" s="74">
        <v>0.1053</v>
      </c>
    </row>
    <row r="1887" spans="1:8" ht="15.6">
      <c r="A1887" s="468" t="s">
        <v>2315</v>
      </c>
      <c r="B1887" s="67">
        <v>2</v>
      </c>
      <c r="C1887" s="69" t="s">
        <v>32</v>
      </c>
      <c r="D1887" s="71" t="s">
        <v>54</v>
      </c>
      <c r="E1887" s="70" t="s">
        <v>286</v>
      </c>
      <c r="F1887" s="74">
        <v>0.46200000000000002</v>
      </c>
      <c r="G1887" s="70" t="s">
        <v>286</v>
      </c>
      <c r="H1887" s="74">
        <v>4.1799999999999997E-2</v>
      </c>
    </row>
    <row r="1888" spans="1:8" ht="15.6">
      <c r="A1888" s="468" t="s">
        <v>2316</v>
      </c>
      <c r="B1888" s="67">
        <v>3</v>
      </c>
      <c r="C1888" s="69" t="s">
        <v>33</v>
      </c>
      <c r="D1888" s="71" t="s">
        <v>12</v>
      </c>
      <c r="E1888" s="70" t="s">
        <v>286</v>
      </c>
      <c r="F1888" s="74">
        <v>0.92879999999999996</v>
      </c>
      <c r="G1888" s="70" t="s">
        <v>286</v>
      </c>
      <c r="H1888" s="74">
        <v>0.1019</v>
      </c>
    </row>
    <row r="1889" spans="1:8" ht="15.6">
      <c r="A1889" s="468" t="s">
        <v>2317</v>
      </c>
      <c r="B1889" s="67">
        <v>4</v>
      </c>
      <c r="C1889" s="69" t="s">
        <v>33</v>
      </c>
      <c r="D1889" s="71" t="s">
        <v>51</v>
      </c>
      <c r="E1889" s="70" t="s">
        <v>286</v>
      </c>
      <c r="F1889" s="74">
        <v>0.68810000000000004</v>
      </c>
      <c r="G1889" s="70" t="s">
        <v>286</v>
      </c>
      <c r="H1889" s="74">
        <v>7.2900000000000006E-2</v>
      </c>
    </row>
    <row r="1890" spans="1:8" ht="15.6">
      <c r="A1890" s="468" t="s">
        <v>2318</v>
      </c>
      <c r="B1890" s="67">
        <v>5</v>
      </c>
      <c r="C1890" s="69" t="s">
        <v>33</v>
      </c>
      <c r="D1890" s="71" t="s">
        <v>13</v>
      </c>
      <c r="E1890" s="70" t="s">
        <v>286</v>
      </c>
      <c r="F1890" s="74">
        <v>0.58950000000000002</v>
      </c>
      <c r="G1890" s="70" t="s">
        <v>286</v>
      </c>
      <c r="H1890" s="74">
        <v>6.0999999999999999E-2</v>
      </c>
    </row>
    <row r="1891" spans="1:8" ht="15.6">
      <c r="A1891" s="468" t="s">
        <v>2319</v>
      </c>
      <c r="B1891" s="67">
        <v>6</v>
      </c>
      <c r="C1891" s="69" t="s">
        <v>33</v>
      </c>
      <c r="D1891" s="71" t="s">
        <v>9</v>
      </c>
      <c r="E1891" s="70" t="s">
        <v>286</v>
      </c>
      <c r="F1891" s="74">
        <v>0.44119999999999998</v>
      </c>
      <c r="G1891" s="70" t="s">
        <v>286</v>
      </c>
      <c r="H1891" s="74">
        <v>4.3099999999999999E-2</v>
      </c>
    </row>
    <row r="1892" spans="1:8" ht="15.6">
      <c r="A1892" s="468" t="s">
        <v>2320</v>
      </c>
      <c r="B1892" s="67">
        <v>7</v>
      </c>
      <c r="C1892" s="69" t="s">
        <v>33</v>
      </c>
      <c r="D1892" s="71" t="s">
        <v>14</v>
      </c>
      <c r="E1892" s="70" t="s">
        <v>286</v>
      </c>
      <c r="F1892" s="74">
        <v>0.37280000000000002</v>
      </c>
      <c r="G1892" s="70" t="s">
        <v>286</v>
      </c>
      <c r="H1892" s="74">
        <v>3.49E-2</v>
      </c>
    </row>
    <row r="1893" spans="1:8" ht="15.6">
      <c r="A1893" s="468" t="s">
        <v>2321</v>
      </c>
      <c r="B1893" s="67">
        <v>8</v>
      </c>
      <c r="C1893" s="69" t="s">
        <v>33</v>
      </c>
      <c r="D1893" s="71" t="s">
        <v>33</v>
      </c>
      <c r="E1893" s="70" t="s">
        <v>286</v>
      </c>
      <c r="F1893" s="74">
        <v>9.2700000000000005E-2</v>
      </c>
      <c r="G1893" s="70" t="s">
        <v>286</v>
      </c>
      <c r="H1893" s="74">
        <v>1.1000000000000001E-3</v>
      </c>
    </row>
    <row r="1894" spans="1:8" ht="15.6">
      <c r="A1894" s="468" t="s">
        <v>2322</v>
      </c>
      <c r="B1894" s="67">
        <v>9</v>
      </c>
      <c r="C1894" s="69" t="s">
        <v>33</v>
      </c>
      <c r="D1894" s="71" t="s">
        <v>25</v>
      </c>
      <c r="E1894" s="70" t="s">
        <v>286</v>
      </c>
      <c r="F1894" s="74">
        <v>0.20219999999999999</v>
      </c>
      <c r="G1894" s="70" t="s">
        <v>286</v>
      </c>
      <c r="H1894" s="74">
        <v>1.43E-2</v>
      </c>
    </row>
    <row r="1895" spans="1:8" ht="15.6">
      <c r="A1895" s="468" t="s">
        <v>2323</v>
      </c>
      <c r="B1895" s="67">
        <v>10</v>
      </c>
      <c r="C1895" s="69" t="s">
        <v>33</v>
      </c>
      <c r="D1895" s="71" t="s">
        <v>31</v>
      </c>
      <c r="E1895" s="70" t="s">
        <v>286</v>
      </c>
      <c r="F1895" s="74">
        <v>0.61550000000000005</v>
      </c>
      <c r="G1895" s="70" t="s">
        <v>286</v>
      </c>
      <c r="H1895" s="74">
        <v>6.4100000000000004E-2</v>
      </c>
    </row>
    <row r="1896" spans="1:8" ht="15.6">
      <c r="A1896" s="468" t="s">
        <v>2324</v>
      </c>
      <c r="B1896" s="67">
        <v>11</v>
      </c>
      <c r="C1896" s="69" t="s">
        <v>33</v>
      </c>
      <c r="D1896" s="71" t="s">
        <v>45</v>
      </c>
      <c r="E1896" s="70" t="s">
        <v>286</v>
      </c>
      <c r="F1896" s="74">
        <v>0.38169999999999998</v>
      </c>
      <c r="G1896" s="70" t="s">
        <v>286</v>
      </c>
      <c r="H1896" s="74">
        <v>3.5900000000000001E-2</v>
      </c>
    </row>
    <row r="1897" spans="1:8" ht="15.6">
      <c r="A1897" s="468" t="s">
        <v>2325</v>
      </c>
      <c r="B1897" s="67">
        <v>12</v>
      </c>
      <c r="C1897" s="69" t="s">
        <v>33</v>
      </c>
      <c r="D1897" s="71" t="s">
        <v>27</v>
      </c>
      <c r="E1897" s="70" t="s">
        <v>286</v>
      </c>
      <c r="F1897" s="74">
        <v>0.5262</v>
      </c>
      <c r="G1897" s="70" t="s">
        <v>286</v>
      </c>
      <c r="H1897" s="74">
        <v>5.3400000000000003E-2</v>
      </c>
    </row>
    <row r="1898" spans="1:8" ht="15.6">
      <c r="A1898" s="468" t="s">
        <v>2326</v>
      </c>
      <c r="B1898" s="67">
        <v>13</v>
      </c>
      <c r="C1898" s="69" t="s">
        <v>33</v>
      </c>
      <c r="D1898" s="71" t="s">
        <v>21</v>
      </c>
      <c r="E1898" s="70" t="s">
        <v>286</v>
      </c>
      <c r="F1898" s="74">
        <v>0.64510000000000001</v>
      </c>
      <c r="G1898" s="70" t="s">
        <v>286</v>
      </c>
      <c r="H1898" s="74">
        <v>6.7699999999999996E-2</v>
      </c>
    </row>
    <row r="1899" spans="1:8" ht="15.6">
      <c r="A1899" s="468" t="s">
        <v>2327</v>
      </c>
      <c r="B1899" s="67">
        <v>14</v>
      </c>
      <c r="C1899" s="69" t="s">
        <v>33</v>
      </c>
      <c r="D1899" s="71" t="s">
        <v>32</v>
      </c>
      <c r="E1899" s="70" t="s">
        <v>286</v>
      </c>
      <c r="F1899" s="74">
        <v>1.0857000000000001</v>
      </c>
      <c r="G1899" s="70" t="s">
        <v>286</v>
      </c>
      <c r="H1899" s="74">
        <v>0.12089999999999999</v>
      </c>
    </row>
    <row r="1900" spans="1:8" ht="15.6">
      <c r="A1900" s="468" t="s">
        <v>2328</v>
      </c>
      <c r="B1900" s="67">
        <v>15</v>
      </c>
      <c r="C1900" s="69" t="s">
        <v>33</v>
      </c>
      <c r="D1900" s="71" t="s">
        <v>30</v>
      </c>
      <c r="E1900" s="70" t="s">
        <v>286</v>
      </c>
      <c r="F1900" s="74">
        <v>0.86890000000000001</v>
      </c>
      <c r="G1900" s="70" t="s">
        <v>286</v>
      </c>
      <c r="H1900" s="74">
        <v>8.7499999999999994E-2</v>
      </c>
    </row>
    <row r="1901" spans="1:8" ht="15.6">
      <c r="A1901" s="468" t="s">
        <v>2329</v>
      </c>
      <c r="B1901" s="67">
        <v>16</v>
      </c>
      <c r="C1901" s="69" t="s">
        <v>33</v>
      </c>
      <c r="D1901" s="71" t="s">
        <v>28</v>
      </c>
      <c r="E1901" s="70" t="s">
        <v>286</v>
      </c>
      <c r="F1901" s="74">
        <v>1.0147999999999999</v>
      </c>
      <c r="G1901" s="70" t="s">
        <v>286</v>
      </c>
      <c r="H1901" s="74">
        <v>0.10390000000000001</v>
      </c>
    </row>
    <row r="1902" spans="1:8" ht="15.6">
      <c r="A1902" s="468" t="s">
        <v>2330</v>
      </c>
      <c r="B1902" s="67">
        <v>17</v>
      </c>
      <c r="C1902" s="69" t="s">
        <v>33</v>
      </c>
      <c r="D1902" s="71" t="s">
        <v>79</v>
      </c>
      <c r="E1902" s="70" t="s">
        <v>286</v>
      </c>
      <c r="F1902" s="74">
        <v>0.98529999999999995</v>
      </c>
      <c r="G1902" s="70" t="s">
        <v>286</v>
      </c>
      <c r="H1902" s="74">
        <v>0.10059999999999999</v>
      </c>
    </row>
    <row r="1903" spans="1:8" ht="15.6">
      <c r="A1903" s="468" t="s">
        <v>2331</v>
      </c>
      <c r="B1903" s="67">
        <v>18</v>
      </c>
      <c r="C1903" s="69" t="s">
        <v>33</v>
      </c>
      <c r="D1903" s="71" t="s">
        <v>29</v>
      </c>
      <c r="E1903" s="70" t="s">
        <v>286</v>
      </c>
      <c r="F1903" s="74">
        <v>1.0516000000000001</v>
      </c>
      <c r="G1903" s="70" t="s">
        <v>286</v>
      </c>
      <c r="H1903" s="74">
        <v>0.108</v>
      </c>
    </row>
    <row r="1904" spans="1:8" ht="15.6">
      <c r="A1904" s="468" t="s">
        <v>2332</v>
      </c>
      <c r="B1904" s="67">
        <v>19</v>
      </c>
      <c r="C1904" s="69" t="s">
        <v>33</v>
      </c>
      <c r="D1904" s="71" t="s">
        <v>43</v>
      </c>
      <c r="E1904" s="70" t="s">
        <v>286</v>
      </c>
      <c r="F1904" s="74">
        <v>0.97850000000000004</v>
      </c>
      <c r="G1904" s="70" t="s">
        <v>286</v>
      </c>
      <c r="H1904" s="74">
        <v>9.98E-2</v>
      </c>
    </row>
    <row r="1905" spans="1:8" ht="15.6">
      <c r="A1905" s="468" t="s">
        <v>2333</v>
      </c>
      <c r="B1905" s="67">
        <v>20</v>
      </c>
      <c r="C1905" s="69" t="s">
        <v>33</v>
      </c>
      <c r="D1905" s="71" t="s">
        <v>18</v>
      </c>
      <c r="E1905" s="70" t="s">
        <v>286</v>
      </c>
      <c r="F1905" s="74">
        <v>0.97440000000000004</v>
      </c>
      <c r="G1905" s="70" t="s">
        <v>286</v>
      </c>
      <c r="H1905" s="74">
        <v>9.9400000000000002E-2</v>
      </c>
    </row>
    <row r="1906" spans="1:8" ht="15.6">
      <c r="A1906" s="468" t="s">
        <v>2334</v>
      </c>
      <c r="B1906" s="67">
        <v>21</v>
      </c>
      <c r="C1906" s="69" t="s">
        <v>33</v>
      </c>
      <c r="D1906" s="71" t="s">
        <v>76</v>
      </c>
      <c r="E1906" s="70" t="s">
        <v>286</v>
      </c>
      <c r="F1906" s="74">
        <v>0.97850000000000004</v>
      </c>
      <c r="G1906" s="70" t="s">
        <v>286</v>
      </c>
      <c r="H1906" s="74">
        <v>9.98E-2</v>
      </c>
    </row>
    <row r="1907" spans="1:8" ht="15.6">
      <c r="A1907" s="468" t="s">
        <v>2335</v>
      </c>
      <c r="B1907" s="67">
        <v>22</v>
      </c>
      <c r="C1907" s="69" t="s">
        <v>33</v>
      </c>
      <c r="D1907" s="71" t="s">
        <v>19</v>
      </c>
      <c r="E1907" s="70" t="s">
        <v>286</v>
      </c>
      <c r="F1907" s="74">
        <v>1.0091000000000001</v>
      </c>
      <c r="G1907" s="70" t="s">
        <v>286</v>
      </c>
      <c r="H1907" s="74">
        <v>0.1033</v>
      </c>
    </row>
    <row r="1908" spans="1:8" ht="15.6">
      <c r="A1908" s="468" t="s">
        <v>2336</v>
      </c>
      <c r="B1908" s="67">
        <v>23</v>
      </c>
      <c r="C1908" s="69" t="s">
        <v>33</v>
      </c>
      <c r="D1908" s="71" t="s">
        <v>23</v>
      </c>
      <c r="E1908" s="70" t="s">
        <v>286</v>
      </c>
      <c r="F1908" s="74">
        <v>1.0887</v>
      </c>
      <c r="G1908" s="70" t="s">
        <v>286</v>
      </c>
      <c r="H1908" s="74">
        <v>0.11219999999999999</v>
      </c>
    </row>
    <row r="1909" spans="1:8" ht="15.6">
      <c r="A1909" s="468" t="s">
        <v>2337</v>
      </c>
      <c r="B1909" s="67">
        <v>24</v>
      </c>
      <c r="C1909" s="69" t="s">
        <v>33</v>
      </c>
      <c r="D1909" s="71" t="s">
        <v>20</v>
      </c>
      <c r="E1909" s="70" t="s">
        <v>286</v>
      </c>
      <c r="F1909" s="74">
        <v>1.1414</v>
      </c>
      <c r="G1909" s="70" t="s">
        <v>286</v>
      </c>
      <c r="H1909" s="74">
        <v>0.1181</v>
      </c>
    </row>
    <row r="1910" spans="1:8" ht="15.6">
      <c r="A1910" s="468" t="s">
        <v>2338</v>
      </c>
      <c r="B1910" s="67">
        <v>25</v>
      </c>
      <c r="C1910" s="69" t="s">
        <v>33</v>
      </c>
      <c r="D1910" s="71" t="s">
        <v>53</v>
      </c>
      <c r="E1910" s="70" t="s">
        <v>286</v>
      </c>
      <c r="F1910" s="74">
        <v>1.1052999999999999</v>
      </c>
      <c r="G1910" s="70" t="s">
        <v>286</v>
      </c>
      <c r="H1910" s="74">
        <v>0.11409999999999999</v>
      </c>
    </row>
    <row r="1911" spans="1:8" ht="15.6">
      <c r="A1911" s="468" t="s">
        <v>2339</v>
      </c>
      <c r="B1911" s="67">
        <v>26</v>
      </c>
      <c r="C1911" s="69" t="s">
        <v>33</v>
      </c>
      <c r="D1911" s="71" t="s">
        <v>41</v>
      </c>
      <c r="E1911" s="70" t="s">
        <v>286</v>
      </c>
      <c r="F1911" s="74">
        <v>1.1071</v>
      </c>
      <c r="G1911" s="70" t="s">
        <v>286</v>
      </c>
      <c r="H1911" s="74">
        <v>0.1143</v>
      </c>
    </row>
    <row r="1912" spans="1:8" ht="15.6">
      <c r="A1912" s="468" t="s">
        <v>2340</v>
      </c>
      <c r="B1912" s="67">
        <v>27</v>
      </c>
      <c r="C1912" s="69" t="s">
        <v>33</v>
      </c>
      <c r="D1912" s="71" t="s">
        <v>36</v>
      </c>
      <c r="E1912" s="70" t="s">
        <v>286</v>
      </c>
      <c r="F1912" s="74">
        <v>1.0589</v>
      </c>
      <c r="G1912" s="70" t="s">
        <v>286</v>
      </c>
      <c r="H1912" s="74">
        <v>0.1089</v>
      </c>
    </row>
    <row r="1913" spans="1:8" ht="15.6">
      <c r="A1913" s="468" t="s">
        <v>2341</v>
      </c>
      <c r="B1913" s="67">
        <v>28</v>
      </c>
      <c r="C1913" s="69" t="s">
        <v>33</v>
      </c>
      <c r="D1913" s="71" t="s">
        <v>15</v>
      </c>
      <c r="E1913" s="70" t="s">
        <v>286</v>
      </c>
      <c r="F1913" s="74">
        <v>1.0407999999999999</v>
      </c>
      <c r="G1913" s="70" t="s">
        <v>286</v>
      </c>
      <c r="H1913" s="74">
        <v>0.10680000000000001</v>
      </c>
    </row>
    <row r="1914" spans="1:8" ht="15.6">
      <c r="A1914" s="468" t="s">
        <v>2342</v>
      </c>
      <c r="B1914" s="67">
        <v>29</v>
      </c>
      <c r="C1914" s="69" t="s">
        <v>33</v>
      </c>
      <c r="D1914" s="71" t="s">
        <v>16</v>
      </c>
      <c r="E1914" s="70" t="s">
        <v>286</v>
      </c>
      <c r="F1914" s="74">
        <v>1.2528999999999999</v>
      </c>
      <c r="G1914" s="70" t="s">
        <v>286</v>
      </c>
      <c r="H1914" s="74">
        <v>0.13070000000000001</v>
      </c>
    </row>
    <row r="1915" spans="1:8" ht="15.6">
      <c r="A1915" s="468" t="s">
        <v>2343</v>
      </c>
      <c r="B1915" s="67">
        <v>30</v>
      </c>
      <c r="C1915" s="69" t="s">
        <v>33</v>
      </c>
      <c r="D1915" s="71" t="s">
        <v>17</v>
      </c>
      <c r="E1915" s="70" t="s">
        <v>286</v>
      </c>
      <c r="F1915" s="74">
        <v>0.4516</v>
      </c>
      <c r="G1915" s="70" t="s">
        <v>286</v>
      </c>
      <c r="H1915" s="74">
        <v>4.4400000000000002E-2</v>
      </c>
    </row>
    <row r="1916" spans="1:8" ht="15.6">
      <c r="A1916" s="468" t="s">
        <v>2344</v>
      </c>
      <c r="B1916" s="67">
        <v>31</v>
      </c>
      <c r="C1916" s="69" t="s">
        <v>33</v>
      </c>
      <c r="D1916" s="71" t="s">
        <v>10</v>
      </c>
      <c r="E1916" s="70" t="s">
        <v>286</v>
      </c>
      <c r="F1916" s="74">
        <v>0.4516</v>
      </c>
      <c r="G1916" s="70" t="s">
        <v>286</v>
      </c>
      <c r="H1916" s="74">
        <v>4.4400000000000002E-2</v>
      </c>
    </row>
    <row r="1917" spans="1:8" ht="15.6">
      <c r="A1917" s="468" t="s">
        <v>2345</v>
      </c>
      <c r="B1917" s="67">
        <v>32</v>
      </c>
      <c r="C1917" s="69" t="s">
        <v>33</v>
      </c>
      <c r="D1917" s="71" t="s">
        <v>22</v>
      </c>
      <c r="E1917" s="70" t="s">
        <v>286</v>
      </c>
      <c r="F1917" s="74">
        <v>1.0209999999999999</v>
      </c>
      <c r="G1917" s="70" t="s">
        <v>286</v>
      </c>
      <c r="H1917" s="74">
        <v>0.1046</v>
      </c>
    </row>
    <row r="1918" spans="1:8" ht="15.6">
      <c r="A1918" s="468" t="s">
        <v>2346</v>
      </c>
      <c r="B1918" s="67">
        <v>33</v>
      </c>
      <c r="C1918" s="69" t="s">
        <v>33</v>
      </c>
      <c r="D1918" s="71" t="s">
        <v>35</v>
      </c>
      <c r="E1918" s="70" t="s">
        <v>286</v>
      </c>
      <c r="F1918" s="74">
        <v>1.0012000000000001</v>
      </c>
      <c r="G1918" s="70" t="s">
        <v>286</v>
      </c>
      <c r="H1918" s="74">
        <v>0.1024</v>
      </c>
    </row>
    <row r="1919" spans="1:8" ht="15.6">
      <c r="A1919" s="468" t="s">
        <v>2347</v>
      </c>
      <c r="B1919" s="67">
        <v>34</v>
      </c>
      <c r="C1919" s="69" t="s">
        <v>33</v>
      </c>
      <c r="D1919" s="71" t="s">
        <v>24</v>
      </c>
      <c r="E1919" s="70" t="s">
        <v>286</v>
      </c>
      <c r="F1919" s="74">
        <v>1.1323000000000001</v>
      </c>
      <c r="G1919" s="70" t="s">
        <v>286</v>
      </c>
      <c r="H1919" s="74">
        <v>0.1171</v>
      </c>
    </row>
    <row r="1920" spans="1:8" ht="15.6">
      <c r="A1920" s="468" t="s">
        <v>2348</v>
      </c>
      <c r="B1920" s="67">
        <v>35</v>
      </c>
      <c r="C1920" s="69" t="s">
        <v>33</v>
      </c>
      <c r="D1920" s="71" t="s">
        <v>37</v>
      </c>
      <c r="E1920" s="70" t="s">
        <v>286</v>
      </c>
      <c r="F1920" s="74">
        <v>1.0575000000000001</v>
      </c>
      <c r="G1920" s="70" t="s">
        <v>286</v>
      </c>
      <c r="H1920" s="74">
        <v>0.1087</v>
      </c>
    </row>
    <row r="1921" spans="1:8" ht="15.6">
      <c r="A1921" s="468" t="s">
        <v>2349</v>
      </c>
      <c r="B1921" s="67">
        <v>36</v>
      </c>
      <c r="C1921" s="69" t="s">
        <v>33</v>
      </c>
      <c r="D1921" s="71" t="s">
        <v>38</v>
      </c>
      <c r="E1921" s="70" t="s">
        <v>286</v>
      </c>
      <c r="F1921" s="74">
        <v>0.71179999999999999</v>
      </c>
      <c r="G1921" s="70" t="s">
        <v>286</v>
      </c>
      <c r="H1921" s="74">
        <v>7.5800000000000006E-2</v>
      </c>
    </row>
    <row r="1922" spans="1:8" ht="15.6">
      <c r="A1922" s="468" t="s">
        <v>2350</v>
      </c>
      <c r="B1922" s="67">
        <v>37</v>
      </c>
      <c r="C1922" s="69" t="s">
        <v>33</v>
      </c>
      <c r="D1922" s="71" t="s">
        <v>26</v>
      </c>
      <c r="E1922" s="70" t="s">
        <v>286</v>
      </c>
      <c r="F1922" s="74">
        <v>1.1427</v>
      </c>
      <c r="G1922" s="70" t="s">
        <v>286</v>
      </c>
      <c r="H1922" s="74">
        <v>0.1183</v>
      </c>
    </row>
    <row r="1923" spans="1:8" ht="15.6">
      <c r="A1923" s="468" t="s">
        <v>2351</v>
      </c>
      <c r="B1923" s="67">
        <v>38</v>
      </c>
      <c r="C1923" s="69" t="s">
        <v>33</v>
      </c>
      <c r="D1923" s="71" t="s">
        <v>52</v>
      </c>
      <c r="E1923" s="70" t="s">
        <v>286</v>
      </c>
      <c r="F1923" s="74">
        <v>0.37280000000000002</v>
      </c>
      <c r="G1923" s="70" t="s">
        <v>286</v>
      </c>
      <c r="H1923" s="74">
        <v>3.49E-2</v>
      </c>
    </row>
    <row r="1924" spans="1:8" ht="15.6">
      <c r="A1924" s="468" t="s">
        <v>2352</v>
      </c>
      <c r="B1924" s="67">
        <v>39</v>
      </c>
      <c r="C1924" s="69" t="s">
        <v>33</v>
      </c>
      <c r="D1924" s="71" t="s">
        <v>40</v>
      </c>
      <c r="E1924" s="70" t="s">
        <v>286</v>
      </c>
      <c r="F1924" s="74">
        <v>1.0403</v>
      </c>
      <c r="G1924" s="70" t="s">
        <v>286</v>
      </c>
      <c r="H1924" s="74">
        <v>0.1154</v>
      </c>
    </row>
    <row r="1925" spans="1:8" ht="15.6">
      <c r="A1925" s="468" t="s">
        <v>2353</v>
      </c>
      <c r="B1925" s="67">
        <v>40</v>
      </c>
      <c r="C1925" s="69" t="s">
        <v>33</v>
      </c>
      <c r="D1925" s="71" t="s">
        <v>34</v>
      </c>
      <c r="E1925" s="70" t="s">
        <v>286</v>
      </c>
      <c r="F1925" s="74">
        <v>0.58950000000000002</v>
      </c>
      <c r="G1925" s="70" t="s">
        <v>286</v>
      </c>
      <c r="H1925" s="74">
        <v>6.0999999999999999E-2</v>
      </c>
    </row>
    <row r="1926" spans="1:8" ht="15.6">
      <c r="A1926" s="468" t="s">
        <v>2354</v>
      </c>
      <c r="B1926" s="67">
        <v>41</v>
      </c>
      <c r="C1926" s="69" t="s">
        <v>33</v>
      </c>
      <c r="D1926" s="71" t="s">
        <v>54</v>
      </c>
      <c r="E1926" s="70" t="s">
        <v>286</v>
      </c>
      <c r="F1926" s="74">
        <v>1.1052999999999999</v>
      </c>
      <c r="G1926" s="70" t="s">
        <v>286</v>
      </c>
      <c r="H1926" s="74">
        <v>0.11409999999999999</v>
      </c>
    </row>
    <row r="1927" spans="1:8" ht="15.6">
      <c r="A1927" s="468" t="s">
        <v>2355</v>
      </c>
      <c r="B1927" s="67">
        <v>42</v>
      </c>
      <c r="C1927" s="69" t="s">
        <v>34</v>
      </c>
      <c r="D1927" s="71" t="s">
        <v>12</v>
      </c>
      <c r="E1927" s="70">
        <v>13.139699999999999</v>
      </c>
      <c r="F1927" s="74">
        <v>0.432</v>
      </c>
      <c r="G1927" s="70">
        <v>1.27746</v>
      </c>
      <c r="H1927" s="74">
        <v>4.2000000000000003E-2</v>
      </c>
    </row>
    <row r="1928" spans="1:8" ht="15.6">
      <c r="A1928" s="468" t="s">
        <v>2356</v>
      </c>
      <c r="B1928" s="67">
        <v>43</v>
      </c>
      <c r="C1928" s="69" t="s">
        <v>34</v>
      </c>
      <c r="D1928" s="71" t="s">
        <v>51</v>
      </c>
      <c r="E1928" s="70">
        <v>5.8199300000000003</v>
      </c>
      <c r="F1928" s="74">
        <v>0.1913</v>
      </c>
      <c r="G1928" s="70">
        <v>0.39441999999999999</v>
      </c>
      <c r="H1928" s="74">
        <v>1.2999999999999999E-2</v>
      </c>
    </row>
    <row r="1929" spans="1:8" ht="15.6">
      <c r="A1929" s="468" t="s">
        <v>2357</v>
      </c>
      <c r="B1929" s="67">
        <v>44</v>
      </c>
      <c r="C1929" s="69" t="s">
        <v>34</v>
      </c>
      <c r="D1929" s="71" t="s">
        <v>13</v>
      </c>
      <c r="E1929" s="70">
        <v>2.82084</v>
      </c>
      <c r="F1929" s="74">
        <v>9.2700000000000005E-2</v>
      </c>
      <c r="G1929" s="70">
        <v>3.261E-2</v>
      </c>
      <c r="H1929" s="74">
        <v>1.1000000000000001E-3</v>
      </c>
    </row>
    <row r="1930" spans="1:8" ht="15.6">
      <c r="A1930" s="468" t="s">
        <v>2358</v>
      </c>
      <c r="B1930" s="67">
        <v>45</v>
      </c>
      <c r="C1930" s="69" t="s">
        <v>34</v>
      </c>
      <c r="D1930" s="71" t="s">
        <v>9</v>
      </c>
      <c r="E1930" s="70">
        <v>7.3736100000000002</v>
      </c>
      <c r="F1930" s="74">
        <v>0.2424</v>
      </c>
      <c r="G1930" s="70">
        <v>0.58187</v>
      </c>
      <c r="H1930" s="74">
        <v>1.9099999999999999E-2</v>
      </c>
    </row>
    <row r="1931" spans="1:8" ht="15.6">
      <c r="A1931" s="468" t="s">
        <v>2359</v>
      </c>
      <c r="B1931" s="67">
        <v>46</v>
      </c>
      <c r="C1931" s="69" t="s">
        <v>34</v>
      </c>
      <c r="D1931" s="71" t="s">
        <v>14</v>
      </c>
      <c r="E1931" s="70">
        <v>9.4121299999999994</v>
      </c>
      <c r="F1931" s="74">
        <v>0.30940000000000001</v>
      </c>
      <c r="G1931" s="70">
        <v>0.82777999999999996</v>
      </c>
      <c r="H1931" s="74">
        <v>2.7199999999999998E-2</v>
      </c>
    </row>
    <row r="1932" spans="1:8" ht="15.6">
      <c r="A1932" s="468" t="s">
        <v>2360</v>
      </c>
      <c r="B1932" s="67">
        <v>47</v>
      </c>
      <c r="C1932" s="69" t="s">
        <v>34</v>
      </c>
      <c r="D1932" s="71" t="s">
        <v>33</v>
      </c>
      <c r="E1932" s="70">
        <v>17.93093</v>
      </c>
      <c r="F1932" s="74">
        <v>0.58950000000000002</v>
      </c>
      <c r="G1932" s="70">
        <v>1.8554900000000001</v>
      </c>
      <c r="H1932" s="74">
        <v>6.0999999999999999E-2</v>
      </c>
    </row>
    <row r="1933" spans="1:8" ht="15.6">
      <c r="A1933" s="468" t="s">
        <v>2361</v>
      </c>
      <c r="B1933" s="67">
        <v>48</v>
      </c>
      <c r="C1933" s="69" t="s">
        <v>34</v>
      </c>
      <c r="D1933" s="71" t="s">
        <v>25</v>
      </c>
      <c r="E1933" s="70">
        <v>20.440000000000001</v>
      </c>
      <c r="F1933" s="74">
        <v>0.67200000000000004</v>
      </c>
      <c r="G1933" s="70">
        <v>2.1581700000000001</v>
      </c>
      <c r="H1933" s="74">
        <v>7.0999999999999994E-2</v>
      </c>
    </row>
    <row r="1934" spans="1:8" ht="15.6">
      <c r="A1934" s="468" t="s">
        <v>2362</v>
      </c>
      <c r="B1934" s="67">
        <v>49</v>
      </c>
      <c r="C1934" s="69" t="s">
        <v>34</v>
      </c>
      <c r="D1934" s="71" t="s">
        <v>31</v>
      </c>
      <c r="E1934" s="70">
        <v>33.13409</v>
      </c>
      <c r="F1934" s="74">
        <v>1.0892999999999999</v>
      </c>
      <c r="G1934" s="70">
        <v>3.6895699999999998</v>
      </c>
      <c r="H1934" s="74">
        <v>0.12130000000000001</v>
      </c>
    </row>
    <row r="1935" spans="1:8" ht="15.6">
      <c r="A1935" s="468" t="s">
        <v>2363</v>
      </c>
      <c r="B1935" s="67">
        <v>50</v>
      </c>
      <c r="C1935" s="69" t="s">
        <v>34</v>
      </c>
      <c r="D1935" s="71" t="s">
        <v>45</v>
      </c>
      <c r="E1935" s="70">
        <v>26.02055</v>
      </c>
      <c r="F1935" s="74">
        <v>0.85550000000000004</v>
      </c>
      <c r="G1935" s="70">
        <v>2.83141</v>
      </c>
      <c r="H1935" s="74">
        <v>9.3100000000000002E-2</v>
      </c>
    </row>
    <row r="1936" spans="1:8" ht="15.6">
      <c r="A1936" s="468" t="s">
        <v>2364</v>
      </c>
      <c r="B1936" s="67">
        <v>51</v>
      </c>
      <c r="C1936" s="69" t="s">
        <v>34</v>
      </c>
      <c r="D1936" s="71" t="s">
        <v>27</v>
      </c>
      <c r="E1936" s="70">
        <v>30.41423</v>
      </c>
      <c r="F1936" s="74">
        <v>0.99990000000000001</v>
      </c>
      <c r="G1936" s="70">
        <v>3.36145</v>
      </c>
      <c r="H1936" s="74">
        <v>0.1105</v>
      </c>
    </row>
    <row r="1937" spans="1:8" ht="15.6">
      <c r="A1937" s="468" t="s">
        <v>2365</v>
      </c>
      <c r="B1937" s="67">
        <v>52</v>
      </c>
      <c r="C1937" s="69" t="s">
        <v>34</v>
      </c>
      <c r="D1937" s="71" t="s">
        <v>21</v>
      </c>
      <c r="E1937" s="70">
        <v>34.030470000000001</v>
      </c>
      <c r="F1937" s="74">
        <v>1.1188</v>
      </c>
      <c r="G1937" s="70">
        <v>3.7976800000000002</v>
      </c>
      <c r="H1937" s="74">
        <v>0.1249</v>
      </c>
    </row>
    <row r="1938" spans="1:8" ht="15.6">
      <c r="A1938" s="468" t="s">
        <v>2366</v>
      </c>
      <c r="B1938" s="67">
        <v>53</v>
      </c>
      <c r="C1938" s="69" t="s">
        <v>34</v>
      </c>
      <c r="D1938" s="71" t="s">
        <v>32</v>
      </c>
      <c r="E1938" s="70">
        <v>29.09385</v>
      </c>
      <c r="F1938" s="74">
        <v>0.95650000000000002</v>
      </c>
      <c r="G1938" s="70">
        <v>3.2021500000000001</v>
      </c>
      <c r="H1938" s="74">
        <v>0.1053</v>
      </c>
    </row>
    <row r="1939" spans="1:8" ht="15.6">
      <c r="A1939" s="468" t="s">
        <v>2367</v>
      </c>
      <c r="B1939" s="67">
        <v>54</v>
      </c>
      <c r="C1939" s="69" t="s">
        <v>34</v>
      </c>
      <c r="D1939" s="71" t="s">
        <v>30</v>
      </c>
      <c r="E1939" s="70">
        <v>41.899569999999997</v>
      </c>
      <c r="F1939" s="74">
        <v>1.3774999999999999</v>
      </c>
      <c r="G1939" s="70">
        <v>4.3997099999999998</v>
      </c>
      <c r="H1939" s="74">
        <v>0.1447</v>
      </c>
    </row>
    <row r="1940" spans="1:8" ht="15.6">
      <c r="A1940" s="468" t="s">
        <v>2368</v>
      </c>
      <c r="B1940" s="67">
        <v>55</v>
      </c>
      <c r="C1940" s="69" t="s">
        <v>34</v>
      </c>
      <c r="D1940" s="71" t="s">
        <v>28</v>
      </c>
      <c r="E1940" s="70">
        <v>43.30847</v>
      </c>
      <c r="F1940" s="74">
        <v>1.4238</v>
      </c>
      <c r="G1940" s="70">
        <v>4.5580499999999997</v>
      </c>
      <c r="H1940" s="74">
        <v>0.14990000000000001</v>
      </c>
    </row>
    <row r="1941" spans="1:8" ht="15.6">
      <c r="A1941" s="468" t="s">
        <v>2369</v>
      </c>
      <c r="B1941" s="67">
        <v>56</v>
      </c>
      <c r="C1941" s="69" t="s">
        <v>34</v>
      </c>
      <c r="D1941" s="71" t="s">
        <v>79</v>
      </c>
      <c r="E1941" s="70">
        <v>43.615070000000003</v>
      </c>
      <c r="F1941" s="74">
        <v>1.4339</v>
      </c>
      <c r="G1941" s="70">
        <v>4.5924500000000004</v>
      </c>
      <c r="H1941" s="74">
        <v>0.151</v>
      </c>
    </row>
    <row r="1942" spans="1:8" ht="15.6">
      <c r="A1942" s="468" t="s">
        <v>2370</v>
      </c>
      <c r="B1942" s="67">
        <v>57</v>
      </c>
      <c r="C1942" s="69" t="s">
        <v>34</v>
      </c>
      <c r="D1942" s="71" t="s">
        <v>29</v>
      </c>
      <c r="E1942" s="70">
        <v>47.394950000000001</v>
      </c>
      <c r="F1942" s="74">
        <v>1.5582</v>
      </c>
      <c r="G1942" s="70">
        <v>5.0171400000000004</v>
      </c>
      <c r="H1942" s="74">
        <v>0.16500000000000001</v>
      </c>
    </row>
    <row r="1943" spans="1:8" ht="15.6">
      <c r="A1943" s="468" t="s">
        <v>2371</v>
      </c>
      <c r="B1943" s="67">
        <v>58</v>
      </c>
      <c r="C1943" s="69" t="s">
        <v>34</v>
      </c>
      <c r="D1943" s="71" t="s">
        <v>43</v>
      </c>
      <c r="E1943" s="70">
        <v>43.406410000000001</v>
      </c>
      <c r="F1943" s="74">
        <v>1.4271</v>
      </c>
      <c r="G1943" s="70">
        <v>4.5690200000000001</v>
      </c>
      <c r="H1943" s="74">
        <v>0.1502</v>
      </c>
    </row>
    <row r="1944" spans="1:8" ht="15.6">
      <c r="A1944" s="468" t="s">
        <v>2372</v>
      </c>
      <c r="B1944" s="67">
        <v>59</v>
      </c>
      <c r="C1944" s="69" t="s">
        <v>34</v>
      </c>
      <c r="D1944" s="69" t="s">
        <v>18</v>
      </c>
      <c r="E1944" s="70">
        <v>44.490760000000002</v>
      </c>
      <c r="F1944" s="74">
        <v>1.4626999999999999</v>
      </c>
      <c r="G1944" s="70">
        <v>4.6908700000000003</v>
      </c>
      <c r="H1944" s="74">
        <v>0.1542</v>
      </c>
    </row>
    <row r="1945" spans="1:8" ht="15.6">
      <c r="A1945" s="468" t="s">
        <v>2373</v>
      </c>
      <c r="B1945" s="67">
        <v>60</v>
      </c>
      <c r="C1945" s="69" t="s">
        <v>34</v>
      </c>
      <c r="D1945" s="71" t="s">
        <v>76</v>
      </c>
      <c r="E1945" s="70">
        <v>43.406410000000001</v>
      </c>
      <c r="F1945" s="74">
        <v>1.4271</v>
      </c>
      <c r="G1945" s="70">
        <v>4.5690200000000001</v>
      </c>
      <c r="H1945" s="74">
        <v>0.1502</v>
      </c>
    </row>
    <row r="1946" spans="1:8" ht="15.6">
      <c r="A1946" s="468" t="s">
        <v>2374</v>
      </c>
      <c r="B1946" s="67">
        <v>61</v>
      </c>
      <c r="C1946" s="69" t="s">
        <v>34</v>
      </c>
      <c r="D1946" s="71" t="s">
        <v>19</v>
      </c>
      <c r="E1946" s="70">
        <v>46.153950000000002</v>
      </c>
      <c r="F1946" s="74">
        <v>1.5174000000000001</v>
      </c>
      <c r="G1946" s="70">
        <v>4.8777299999999997</v>
      </c>
      <c r="H1946" s="74">
        <v>0.16039999999999999</v>
      </c>
    </row>
    <row r="1947" spans="1:8" ht="15.6">
      <c r="A1947" s="468" t="s">
        <v>2375</v>
      </c>
      <c r="B1947" s="67">
        <v>62</v>
      </c>
      <c r="C1947" s="69" t="s">
        <v>34</v>
      </c>
      <c r="D1947" s="71" t="s">
        <v>23</v>
      </c>
      <c r="E1947" s="70">
        <v>48.587890000000002</v>
      </c>
      <c r="F1947" s="74">
        <v>1.5973999999999999</v>
      </c>
      <c r="G1947" s="70">
        <v>5.1511699999999996</v>
      </c>
      <c r="H1947" s="74">
        <v>0.1694</v>
      </c>
    </row>
    <row r="1948" spans="1:8" ht="15.6">
      <c r="A1948" s="468" t="s">
        <v>2376</v>
      </c>
      <c r="B1948" s="67">
        <v>63</v>
      </c>
      <c r="C1948" s="69" t="s">
        <v>34</v>
      </c>
      <c r="D1948" s="71" t="s">
        <v>20</v>
      </c>
      <c r="E1948" s="70">
        <v>50.191450000000003</v>
      </c>
      <c r="F1948" s="74">
        <v>1.6500999999999999</v>
      </c>
      <c r="G1948" s="70">
        <v>5.3313300000000003</v>
      </c>
      <c r="H1948" s="74">
        <v>0.17530000000000001</v>
      </c>
    </row>
    <row r="1949" spans="1:8" ht="15.6">
      <c r="A1949" s="468" t="s">
        <v>2377</v>
      </c>
      <c r="B1949" s="67">
        <v>64</v>
      </c>
      <c r="C1949" s="69" t="s">
        <v>34</v>
      </c>
      <c r="D1949" s="71" t="s">
        <v>53</v>
      </c>
      <c r="E1949" s="70">
        <v>39.295900000000003</v>
      </c>
      <c r="F1949" s="74">
        <v>1.2919</v>
      </c>
      <c r="G1949" s="70">
        <v>4.1072100000000002</v>
      </c>
      <c r="H1949" s="74">
        <v>0.13500000000000001</v>
      </c>
    </row>
    <row r="1950" spans="1:8" ht="15.6">
      <c r="A1950" s="468" t="s">
        <v>2378</v>
      </c>
      <c r="B1950" s="67">
        <v>65</v>
      </c>
      <c r="C1950" s="69" t="s">
        <v>34</v>
      </c>
      <c r="D1950" s="71" t="s">
        <v>41</v>
      </c>
      <c r="E1950" s="70">
        <v>39.230499999999999</v>
      </c>
      <c r="F1950" s="74">
        <v>1.2898000000000001</v>
      </c>
      <c r="G1950" s="70">
        <v>4.0998799999999997</v>
      </c>
      <c r="H1950" s="74">
        <v>0.1348</v>
      </c>
    </row>
    <row r="1951" spans="1:8" ht="15.6">
      <c r="A1951" s="468" t="s">
        <v>2379</v>
      </c>
      <c r="B1951" s="67">
        <v>66</v>
      </c>
      <c r="C1951" s="69" t="s">
        <v>34</v>
      </c>
      <c r="D1951" s="71" t="s">
        <v>36</v>
      </c>
      <c r="E1951" s="70">
        <v>44.775460000000002</v>
      </c>
      <c r="F1951" s="74">
        <v>1.4721</v>
      </c>
      <c r="G1951" s="70">
        <v>4.7228300000000001</v>
      </c>
      <c r="H1951" s="74">
        <v>0.15529999999999999</v>
      </c>
    </row>
    <row r="1952" spans="1:8" ht="15.6">
      <c r="A1952" s="468" t="s">
        <v>2380</v>
      </c>
      <c r="B1952" s="67">
        <v>67</v>
      </c>
      <c r="C1952" s="69" t="s">
        <v>34</v>
      </c>
      <c r="D1952" s="71" t="s">
        <v>15</v>
      </c>
      <c r="E1952" s="70">
        <v>47.12941</v>
      </c>
      <c r="F1952" s="74">
        <v>1.5495000000000001</v>
      </c>
      <c r="G1952" s="70">
        <v>4.9873000000000003</v>
      </c>
      <c r="H1952" s="74">
        <v>0.16400000000000001</v>
      </c>
    </row>
    <row r="1953" spans="1:8" ht="15.6">
      <c r="A1953" s="468" t="s">
        <v>2381</v>
      </c>
      <c r="B1953" s="67">
        <v>68</v>
      </c>
      <c r="C1953" s="69" t="s">
        <v>34</v>
      </c>
      <c r="D1953" s="71" t="s">
        <v>16</v>
      </c>
      <c r="E1953" s="70">
        <v>53.583219999999997</v>
      </c>
      <c r="F1953" s="74">
        <v>1.7616000000000001</v>
      </c>
      <c r="G1953" s="70">
        <v>5.7123799999999996</v>
      </c>
      <c r="H1953" s="74">
        <v>0.18779999999999999</v>
      </c>
    </row>
    <row r="1954" spans="1:8" ht="15.6">
      <c r="A1954" s="468" t="s">
        <v>2382</v>
      </c>
      <c r="B1954" s="67">
        <v>69</v>
      </c>
      <c r="C1954" s="69" t="s">
        <v>34</v>
      </c>
      <c r="D1954" s="71" t="s">
        <v>17</v>
      </c>
      <c r="E1954" s="70">
        <v>9.7680100000000003</v>
      </c>
      <c r="F1954" s="74">
        <v>0.3211</v>
      </c>
      <c r="G1954" s="70">
        <v>0.87072000000000005</v>
      </c>
      <c r="H1954" s="74">
        <v>2.86E-2</v>
      </c>
    </row>
    <row r="1955" spans="1:8" ht="15.6">
      <c r="A1955" s="468" t="s">
        <v>2383</v>
      </c>
      <c r="B1955" s="67">
        <v>70</v>
      </c>
      <c r="C1955" s="69" t="s">
        <v>34</v>
      </c>
      <c r="D1955" s="71" t="s">
        <v>10</v>
      </c>
      <c r="E1955" s="70">
        <v>9.7680100000000003</v>
      </c>
      <c r="F1955" s="74">
        <v>0.3211</v>
      </c>
      <c r="G1955" s="70">
        <v>0.87072000000000005</v>
      </c>
      <c r="H1955" s="74">
        <v>2.86E-2</v>
      </c>
    </row>
    <row r="1956" spans="1:8" ht="15.6">
      <c r="A1956" s="468" t="s">
        <v>2384</v>
      </c>
      <c r="B1956" s="67">
        <v>71</v>
      </c>
      <c r="C1956" s="69" t="s">
        <v>34</v>
      </c>
      <c r="D1956" s="71" t="s">
        <v>22</v>
      </c>
      <c r="E1956" s="70">
        <v>46.527160000000002</v>
      </c>
      <c r="F1956" s="74">
        <v>1.5297000000000001</v>
      </c>
      <c r="G1956" s="70">
        <v>4.9196400000000002</v>
      </c>
      <c r="H1956" s="74">
        <v>0.16170000000000001</v>
      </c>
    </row>
    <row r="1957" spans="1:8" ht="15.6">
      <c r="A1957" s="468" t="s">
        <v>2385</v>
      </c>
      <c r="B1957" s="67">
        <v>72</v>
      </c>
      <c r="C1957" s="69" t="s">
        <v>34</v>
      </c>
      <c r="D1957" s="71" t="s">
        <v>35</v>
      </c>
      <c r="E1957" s="70">
        <v>42.714129999999997</v>
      </c>
      <c r="F1957" s="74">
        <v>1.4043000000000001</v>
      </c>
      <c r="G1957" s="70">
        <v>4.49125</v>
      </c>
      <c r="H1957" s="74">
        <v>0.1477</v>
      </c>
    </row>
    <row r="1958" spans="1:8" ht="15.6">
      <c r="A1958" s="468" t="s">
        <v>2386</v>
      </c>
      <c r="B1958" s="67">
        <v>73</v>
      </c>
      <c r="C1958" s="69" t="s">
        <v>34</v>
      </c>
      <c r="D1958" s="71" t="s">
        <v>24</v>
      </c>
      <c r="E1958" s="70">
        <v>49.912840000000003</v>
      </c>
      <c r="F1958" s="74">
        <v>1.641</v>
      </c>
      <c r="G1958" s="70">
        <v>5.3000299999999996</v>
      </c>
      <c r="H1958" s="74">
        <v>0.17430000000000001</v>
      </c>
    </row>
    <row r="1959" spans="1:8" ht="15.6">
      <c r="A1959" s="468" t="s">
        <v>2387</v>
      </c>
      <c r="B1959" s="67">
        <v>74</v>
      </c>
      <c r="C1959" s="69" t="s">
        <v>34</v>
      </c>
      <c r="D1959" s="71" t="s">
        <v>37</v>
      </c>
      <c r="E1959" s="70">
        <v>44.73227</v>
      </c>
      <c r="F1959" s="74">
        <v>1.4706999999999999</v>
      </c>
      <c r="G1959" s="70">
        <v>4.7179599999999997</v>
      </c>
      <c r="H1959" s="74">
        <v>0.15509999999999999</v>
      </c>
    </row>
    <row r="1960" spans="1:8" ht="15.6">
      <c r="A1960" s="468" t="s">
        <v>2388</v>
      </c>
      <c r="B1960" s="67">
        <v>75</v>
      </c>
      <c r="C1960" s="69" t="s">
        <v>34</v>
      </c>
      <c r="D1960" s="71" t="s">
        <v>38</v>
      </c>
      <c r="E1960" s="70">
        <v>36.06109</v>
      </c>
      <c r="F1960" s="74">
        <v>1.1856</v>
      </c>
      <c r="G1960" s="70">
        <v>4.0426299999999999</v>
      </c>
      <c r="H1960" s="74">
        <v>0.13289999999999999</v>
      </c>
    </row>
    <row r="1961" spans="1:8" ht="15.6">
      <c r="A1961" s="468" t="s">
        <v>2389</v>
      </c>
      <c r="B1961" s="67">
        <v>76</v>
      </c>
      <c r="C1961" s="69" t="s">
        <v>34</v>
      </c>
      <c r="D1961" s="71" t="s">
        <v>26</v>
      </c>
      <c r="E1961" s="70">
        <v>50.229170000000003</v>
      </c>
      <c r="F1961" s="74">
        <v>1.6514</v>
      </c>
      <c r="G1961" s="70">
        <v>5.3355699999999997</v>
      </c>
      <c r="H1961" s="74">
        <v>0.1754</v>
      </c>
    </row>
    <row r="1962" spans="1:8" ht="15.6">
      <c r="A1962" s="468" t="s">
        <v>2390</v>
      </c>
      <c r="B1962" s="67">
        <v>77</v>
      </c>
      <c r="C1962" s="69" t="s">
        <v>34</v>
      </c>
      <c r="D1962" s="71" t="s">
        <v>52</v>
      </c>
      <c r="E1962" s="70">
        <v>9.4121299999999994</v>
      </c>
      <c r="F1962" s="74">
        <v>0.30940000000000001</v>
      </c>
      <c r="G1962" s="70">
        <v>0.82777999999999996</v>
      </c>
      <c r="H1962" s="74">
        <v>2.7199999999999998E-2</v>
      </c>
    </row>
    <row r="1963" spans="1:8" ht="15.6">
      <c r="A1963" s="468" t="s">
        <v>2391</v>
      </c>
      <c r="B1963" s="67">
        <v>1</v>
      </c>
      <c r="C1963" s="69" t="s">
        <v>34</v>
      </c>
      <c r="D1963" s="71" t="s">
        <v>40</v>
      </c>
      <c r="E1963" s="70">
        <v>36.194310000000002</v>
      </c>
      <c r="F1963" s="74">
        <v>1.19</v>
      </c>
      <c r="G1963" s="70">
        <v>4.0587099999999996</v>
      </c>
      <c r="H1963" s="74">
        <v>0.13339999999999999</v>
      </c>
    </row>
    <row r="1964" spans="1:8" ht="15.6">
      <c r="A1964" s="468" t="s">
        <v>2392</v>
      </c>
      <c r="B1964" s="67">
        <v>2</v>
      </c>
      <c r="C1964" s="69" t="s">
        <v>34</v>
      </c>
      <c r="D1964" s="71" t="s">
        <v>34</v>
      </c>
      <c r="E1964" s="70">
        <v>2.82084</v>
      </c>
      <c r="F1964" s="74">
        <v>9.2700000000000005E-2</v>
      </c>
      <c r="G1964" s="70">
        <v>3.261E-2</v>
      </c>
      <c r="H1964" s="74">
        <v>1.1000000000000001E-3</v>
      </c>
    </row>
    <row r="1965" spans="1:8" ht="15.6">
      <c r="A1965" s="468" t="s">
        <v>2393</v>
      </c>
      <c r="B1965" s="67">
        <v>3</v>
      </c>
      <c r="C1965" s="69" t="s">
        <v>34</v>
      </c>
      <c r="D1965" s="71" t="s">
        <v>54</v>
      </c>
      <c r="E1965" s="70">
        <v>39.295900000000003</v>
      </c>
      <c r="F1965" s="74">
        <v>1.2919</v>
      </c>
      <c r="G1965" s="70">
        <v>4.1072100000000002</v>
      </c>
      <c r="H1965" s="74">
        <v>0.13500000000000001</v>
      </c>
    </row>
    <row r="1966" spans="1:8" ht="15.6">
      <c r="A1966" s="468" t="s">
        <v>2394</v>
      </c>
      <c r="B1966" s="67">
        <v>4</v>
      </c>
      <c r="C1966" s="69" t="s">
        <v>422</v>
      </c>
      <c r="D1966" s="71" t="s">
        <v>12</v>
      </c>
      <c r="E1966" s="70">
        <v>12.175179999999999</v>
      </c>
      <c r="F1966" s="74">
        <v>0.40029999999999999</v>
      </c>
      <c r="G1966" s="70">
        <v>1.1611100000000001</v>
      </c>
      <c r="H1966" s="74">
        <v>3.8199999999999998E-2</v>
      </c>
    </row>
    <row r="1967" spans="1:8" ht="15.6">
      <c r="A1967" s="468" t="s">
        <v>2395</v>
      </c>
      <c r="B1967" s="67">
        <v>5</v>
      </c>
      <c r="C1967" s="69" t="s">
        <v>422</v>
      </c>
      <c r="D1967" s="71" t="s">
        <v>51</v>
      </c>
      <c r="E1967" s="70">
        <v>4.8846100000000003</v>
      </c>
      <c r="F1967" s="74">
        <v>0.16059999999999999</v>
      </c>
      <c r="G1967" s="70">
        <v>0.28161000000000003</v>
      </c>
      <c r="H1967" s="74">
        <v>9.2999999999999992E-3</v>
      </c>
    </row>
    <row r="1968" spans="1:8" ht="15.6">
      <c r="A1968" s="468" t="s">
        <v>2396</v>
      </c>
      <c r="B1968" s="67">
        <v>6</v>
      </c>
      <c r="C1968" s="69" t="s">
        <v>422</v>
      </c>
      <c r="D1968" s="71" t="s">
        <v>13</v>
      </c>
      <c r="E1968" s="70">
        <v>3.7853500000000002</v>
      </c>
      <c r="F1968" s="74">
        <v>0.1245</v>
      </c>
      <c r="G1968" s="70">
        <v>0.14896000000000001</v>
      </c>
      <c r="H1968" s="74">
        <v>4.8999999999999998E-3</v>
      </c>
    </row>
    <row r="1969" spans="1:8" ht="15.6">
      <c r="A1969" s="468" t="s">
        <v>2397</v>
      </c>
      <c r="B1969" s="67">
        <v>7</v>
      </c>
      <c r="C1969" s="69" t="s">
        <v>422</v>
      </c>
      <c r="D1969" s="71" t="s">
        <v>9</v>
      </c>
      <c r="E1969" s="70">
        <v>8.33812</v>
      </c>
      <c r="F1969" s="74">
        <v>0.27410000000000001</v>
      </c>
      <c r="G1969" s="70">
        <v>0.69821999999999995</v>
      </c>
      <c r="H1969" s="74">
        <v>2.3E-2</v>
      </c>
    </row>
    <row r="1970" spans="1:8" ht="15.6">
      <c r="A1970" s="468" t="s">
        <v>2398</v>
      </c>
      <c r="B1970" s="67">
        <v>8</v>
      </c>
      <c r="C1970" s="69" t="s">
        <v>422</v>
      </c>
      <c r="D1970" s="71" t="s">
        <v>14</v>
      </c>
      <c r="E1970" s="70">
        <v>10.376340000000001</v>
      </c>
      <c r="F1970" s="74">
        <v>0.34110000000000001</v>
      </c>
      <c r="G1970" s="70">
        <v>0.94410000000000005</v>
      </c>
      <c r="H1970" s="74">
        <v>3.1E-2</v>
      </c>
    </row>
    <row r="1971" spans="1:8" ht="15.6">
      <c r="A1971" s="468" t="s">
        <v>2399</v>
      </c>
      <c r="B1971" s="67">
        <v>9</v>
      </c>
      <c r="C1971" s="69" t="s">
        <v>422</v>
      </c>
      <c r="D1971" s="71" t="s">
        <v>33</v>
      </c>
      <c r="E1971" s="70">
        <v>18.89575</v>
      </c>
      <c r="F1971" s="74">
        <v>0.62119999999999997</v>
      </c>
      <c r="G1971" s="70">
        <v>1.9718599999999999</v>
      </c>
      <c r="H1971" s="74">
        <v>6.4799999999999996E-2</v>
      </c>
    </row>
    <row r="1972" spans="1:8" ht="15.6">
      <c r="A1972" s="468" t="s">
        <v>2400</v>
      </c>
      <c r="B1972" s="67">
        <v>10</v>
      </c>
      <c r="C1972" s="69" t="s">
        <v>422</v>
      </c>
      <c r="D1972" s="71" t="s">
        <v>25</v>
      </c>
      <c r="E1972" s="70">
        <v>21.404509999999998</v>
      </c>
      <c r="F1972" s="74">
        <v>0.70369999999999999</v>
      </c>
      <c r="G1972" s="70">
        <v>2.2745199999999999</v>
      </c>
      <c r="H1972" s="74">
        <v>7.4800000000000005E-2</v>
      </c>
    </row>
    <row r="1973" spans="1:8" ht="15.6">
      <c r="A1973" s="468" t="s">
        <v>2401</v>
      </c>
      <c r="B1973" s="67">
        <v>11</v>
      </c>
      <c r="C1973" s="69" t="s">
        <v>422</v>
      </c>
      <c r="D1973" s="71" t="s">
        <v>31</v>
      </c>
      <c r="E1973" s="70">
        <v>34.098909999999997</v>
      </c>
      <c r="F1973" s="74">
        <v>1.1211</v>
      </c>
      <c r="G1973" s="70">
        <v>3.8059599999999998</v>
      </c>
      <c r="H1973" s="74">
        <v>0.12509999999999999</v>
      </c>
    </row>
    <row r="1974" spans="1:8" ht="15.6">
      <c r="A1974" s="468" t="s">
        <v>2402</v>
      </c>
      <c r="B1974" s="67">
        <v>12</v>
      </c>
      <c r="C1974" s="69" t="s">
        <v>422</v>
      </c>
      <c r="D1974" s="71" t="s">
        <v>45</v>
      </c>
      <c r="E1974" s="70">
        <v>26.985060000000001</v>
      </c>
      <c r="F1974" s="74">
        <v>0.88719999999999999</v>
      </c>
      <c r="G1974" s="70">
        <v>2.9477600000000002</v>
      </c>
      <c r="H1974" s="74">
        <v>9.69E-2</v>
      </c>
    </row>
    <row r="1975" spans="1:8" ht="15.6">
      <c r="A1975" s="468" t="s">
        <v>2403</v>
      </c>
      <c r="B1975" s="67">
        <v>13</v>
      </c>
      <c r="C1975" s="69" t="s">
        <v>422</v>
      </c>
      <c r="D1975" s="71" t="s">
        <v>27</v>
      </c>
      <c r="E1975" s="70">
        <v>31.37875</v>
      </c>
      <c r="F1975" s="74">
        <v>1.0316000000000001</v>
      </c>
      <c r="G1975" s="70">
        <v>3.4777999999999998</v>
      </c>
      <c r="H1975" s="74">
        <v>0.1143</v>
      </c>
    </row>
    <row r="1976" spans="1:8" ht="15.6">
      <c r="A1976" s="468" t="s">
        <v>2404</v>
      </c>
      <c r="B1976" s="67">
        <v>14</v>
      </c>
      <c r="C1976" s="69" t="s">
        <v>422</v>
      </c>
      <c r="D1976" s="71" t="s">
        <v>21</v>
      </c>
      <c r="E1976" s="70">
        <v>34.994979999999998</v>
      </c>
      <c r="F1976" s="74">
        <v>1.1505000000000001</v>
      </c>
      <c r="G1976" s="70">
        <v>3.9140199999999998</v>
      </c>
      <c r="H1976" s="74">
        <v>0.12870000000000001</v>
      </c>
    </row>
    <row r="1977" spans="1:8" ht="15.6">
      <c r="A1977" s="468" t="s">
        <v>2405</v>
      </c>
      <c r="B1977" s="67">
        <v>15</v>
      </c>
      <c r="C1977" s="69" t="s">
        <v>422</v>
      </c>
      <c r="D1977" s="71" t="s">
        <v>32</v>
      </c>
      <c r="E1977" s="70">
        <v>30.05836</v>
      </c>
      <c r="F1977" s="74">
        <v>0.98819999999999997</v>
      </c>
      <c r="G1977" s="70">
        <v>3.3184999999999998</v>
      </c>
      <c r="H1977" s="74">
        <v>0.1091</v>
      </c>
    </row>
    <row r="1978" spans="1:8" ht="15.6">
      <c r="A1978" s="468" t="s">
        <v>2406</v>
      </c>
      <c r="B1978" s="67">
        <v>16</v>
      </c>
      <c r="C1978" s="69" t="s">
        <v>422</v>
      </c>
      <c r="D1978" s="71" t="s">
        <v>30</v>
      </c>
      <c r="E1978" s="70">
        <v>42.934649999999998</v>
      </c>
      <c r="F1978" s="74">
        <v>1.4116</v>
      </c>
      <c r="G1978" s="70">
        <v>4.5160600000000004</v>
      </c>
      <c r="H1978" s="74">
        <v>0.14849999999999999</v>
      </c>
    </row>
    <row r="1979" spans="1:8" ht="15.6">
      <c r="A1979" s="468" t="s">
        <v>2407</v>
      </c>
      <c r="B1979" s="67">
        <v>17</v>
      </c>
      <c r="C1979" s="69" t="s">
        <v>422</v>
      </c>
      <c r="D1979" s="71" t="s">
        <v>28</v>
      </c>
      <c r="E1979" s="70">
        <v>44.344149999999999</v>
      </c>
      <c r="F1979" s="74">
        <v>1.4579</v>
      </c>
      <c r="G1979" s="70">
        <v>4.6743800000000002</v>
      </c>
      <c r="H1979" s="74">
        <v>0.1537</v>
      </c>
    </row>
    <row r="1980" spans="1:8" ht="15.6">
      <c r="A1980" s="468" t="s">
        <v>2408</v>
      </c>
      <c r="B1980" s="67">
        <v>18</v>
      </c>
      <c r="C1980" s="69" t="s">
        <v>422</v>
      </c>
      <c r="D1980" s="71" t="s">
        <v>79</v>
      </c>
      <c r="E1980" s="70">
        <v>44.650149999999996</v>
      </c>
      <c r="F1980" s="74">
        <v>1.468</v>
      </c>
      <c r="G1980" s="70">
        <v>4.70878</v>
      </c>
      <c r="H1980" s="74">
        <v>0.15479999999999999</v>
      </c>
    </row>
    <row r="1981" spans="1:8" ht="15.6">
      <c r="A1981" s="468" t="s">
        <v>2409</v>
      </c>
      <c r="B1981" s="67">
        <v>19</v>
      </c>
      <c r="C1981" s="69" t="s">
        <v>422</v>
      </c>
      <c r="D1981" s="71" t="s">
        <v>29</v>
      </c>
      <c r="E1981" s="70">
        <v>48.430329999999998</v>
      </c>
      <c r="F1981" s="74">
        <v>1.5922000000000001</v>
      </c>
      <c r="G1981" s="70">
        <v>5.1334600000000004</v>
      </c>
      <c r="H1981" s="74">
        <v>0.16880000000000001</v>
      </c>
    </row>
    <row r="1982" spans="1:8" ht="15.6">
      <c r="A1982" s="468" t="s">
        <v>2410</v>
      </c>
      <c r="B1982" s="67">
        <v>20</v>
      </c>
      <c r="C1982" s="69" t="s">
        <v>422</v>
      </c>
      <c r="D1982" s="71" t="s">
        <v>43</v>
      </c>
      <c r="E1982" s="70">
        <v>44.442100000000003</v>
      </c>
      <c r="F1982" s="74">
        <v>1.4611000000000001</v>
      </c>
      <c r="G1982" s="70">
        <v>4.6853699999999998</v>
      </c>
      <c r="H1982" s="74">
        <v>0.154</v>
      </c>
    </row>
    <row r="1983" spans="1:8" ht="15.6">
      <c r="A1983" s="468" t="s">
        <v>2411</v>
      </c>
      <c r="B1983" s="67">
        <v>21</v>
      </c>
      <c r="C1983" s="69" t="s">
        <v>422</v>
      </c>
      <c r="D1983" s="69" t="s">
        <v>18</v>
      </c>
      <c r="E1983" s="70">
        <v>45.524320000000003</v>
      </c>
      <c r="F1983" s="74">
        <v>1.4966999999999999</v>
      </c>
      <c r="G1983" s="70">
        <v>4.8069699999999997</v>
      </c>
      <c r="H1983" s="74">
        <v>0.158</v>
      </c>
    </row>
    <row r="1984" spans="1:8" ht="15.6">
      <c r="A1984" s="468" t="s">
        <v>2412</v>
      </c>
      <c r="B1984" s="67">
        <v>22</v>
      </c>
      <c r="C1984" s="69" t="s">
        <v>422</v>
      </c>
      <c r="D1984" s="71" t="s">
        <v>76</v>
      </c>
      <c r="E1984" s="70">
        <v>44.442100000000003</v>
      </c>
      <c r="F1984" s="74">
        <v>1.4611000000000001</v>
      </c>
      <c r="G1984" s="70">
        <v>4.6853699999999998</v>
      </c>
      <c r="H1984" s="74">
        <v>0.154</v>
      </c>
    </row>
    <row r="1985" spans="1:8" ht="15.6">
      <c r="A1985" s="468" t="s">
        <v>2413</v>
      </c>
      <c r="B1985" s="67">
        <v>23</v>
      </c>
      <c r="C1985" s="69" t="s">
        <v>422</v>
      </c>
      <c r="D1985" s="71" t="s">
        <v>19</v>
      </c>
      <c r="E1985" s="70">
        <v>47.189630000000001</v>
      </c>
      <c r="F1985" s="74">
        <v>1.5513999999999999</v>
      </c>
      <c r="G1985" s="70">
        <v>4.9940699999999998</v>
      </c>
      <c r="H1985" s="74">
        <v>0.16420000000000001</v>
      </c>
    </row>
    <row r="1986" spans="1:8" ht="15.6">
      <c r="A1986" s="468" t="s">
        <v>2414</v>
      </c>
      <c r="B1986" s="67">
        <v>24</v>
      </c>
      <c r="C1986" s="69" t="s">
        <v>422</v>
      </c>
      <c r="D1986" s="71" t="s">
        <v>23</v>
      </c>
      <c r="E1986" s="70">
        <v>49.623579999999997</v>
      </c>
      <c r="F1986" s="74">
        <v>1.6315</v>
      </c>
      <c r="G1986" s="70">
        <v>5.2675200000000002</v>
      </c>
      <c r="H1986" s="74">
        <v>0.17319999999999999</v>
      </c>
    </row>
    <row r="1987" spans="1:8" ht="15.6">
      <c r="A1987" s="468" t="s">
        <v>2415</v>
      </c>
      <c r="B1987" s="67">
        <v>25</v>
      </c>
      <c r="C1987" s="69" t="s">
        <v>422</v>
      </c>
      <c r="D1987" s="71" t="s">
        <v>20</v>
      </c>
      <c r="E1987" s="70">
        <v>51.227139999999999</v>
      </c>
      <c r="F1987" s="74">
        <v>1.6841999999999999</v>
      </c>
      <c r="G1987" s="70">
        <v>5.4476800000000001</v>
      </c>
      <c r="H1987" s="74">
        <v>0.17910000000000001</v>
      </c>
    </row>
    <row r="1988" spans="1:8" ht="15.6">
      <c r="A1988" s="468" t="s">
        <v>2416</v>
      </c>
      <c r="B1988" s="67">
        <v>26</v>
      </c>
      <c r="C1988" s="69" t="s">
        <v>422</v>
      </c>
      <c r="D1988" s="71" t="s">
        <v>53</v>
      </c>
      <c r="E1988" s="70">
        <v>40.33128</v>
      </c>
      <c r="F1988" s="74">
        <v>1.3260000000000001</v>
      </c>
      <c r="G1988" s="70">
        <v>4.22356</v>
      </c>
      <c r="H1988" s="74">
        <v>0.1389</v>
      </c>
    </row>
    <row r="1989" spans="1:8" ht="15.6">
      <c r="A1989" s="468" t="s">
        <v>2417</v>
      </c>
      <c r="B1989" s="67">
        <v>27</v>
      </c>
      <c r="C1989" s="69" t="s">
        <v>422</v>
      </c>
      <c r="D1989" s="71" t="s">
        <v>41</v>
      </c>
      <c r="E1989" s="70">
        <v>40.266500000000001</v>
      </c>
      <c r="F1989" s="74">
        <v>1.3238000000000001</v>
      </c>
      <c r="G1989" s="70">
        <v>4.2162499999999996</v>
      </c>
      <c r="H1989" s="74">
        <v>0.1386</v>
      </c>
    </row>
    <row r="1990" spans="1:8" ht="15.6">
      <c r="A1990" s="468" t="s">
        <v>2418</v>
      </c>
      <c r="B1990" s="67">
        <v>28</v>
      </c>
      <c r="C1990" s="69" t="s">
        <v>422</v>
      </c>
      <c r="D1990" s="71" t="s">
        <v>36</v>
      </c>
      <c r="E1990" s="70">
        <v>45.810850000000002</v>
      </c>
      <c r="F1990" s="74">
        <v>1.5061</v>
      </c>
      <c r="G1990" s="70">
        <v>4.8391700000000002</v>
      </c>
      <c r="H1990" s="74">
        <v>0.15909999999999999</v>
      </c>
    </row>
    <row r="1991" spans="1:8" ht="15.6">
      <c r="A1991" s="468" t="s">
        <v>2419</v>
      </c>
      <c r="B1991" s="67">
        <v>29</v>
      </c>
      <c r="C1991" s="69" t="s">
        <v>422</v>
      </c>
      <c r="D1991" s="71" t="s">
        <v>15</v>
      </c>
      <c r="E1991" s="70">
        <v>48.164790000000004</v>
      </c>
      <c r="F1991" s="74">
        <v>1.5834999999999999</v>
      </c>
      <c r="G1991" s="70">
        <v>5.10365</v>
      </c>
      <c r="H1991" s="74">
        <v>0.1678</v>
      </c>
    </row>
    <row r="1992" spans="1:8" ht="15.6">
      <c r="A1992" s="468" t="s">
        <v>2420</v>
      </c>
      <c r="B1992" s="67">
        <v>30</v>
      </c>
      <c r="C1992" s="69" t="s">
        <v>422</v>
      </c>
      <c r="D1992" s="71" t="s">
        <v>16</v>
      </c>
      <c r="E1992" s="70">
        <v>54.618600000000001</v>
      </c>
      <c r="F1992" s="74">
        <v>1.7957000000000001</v>
      </c>
      <c r="G1992" s="70">
        <v>5.8287100000000001</v>
      </c>
      <c r="H1992" s="74">
        <v>0.19159999999999999</v>
      </c>
    </row>
    <row r="1993" spans="1:8" ht="15.6">
      <c r="A1993" s="468" t="s">
        <v>2421</v>
      </c>
      <c r="B1993" s="67">
        <v>31</v>
      </c>
      <c r="C1993" s="69" t="s">
        <v>422</v>
      </c>
      <c r="D1993" s="71" t="s">
        <v>17</v>
      </c>
      <c r="E1993" s="70">
        <v>10.732519999999999</v>
      </c>
      <c r="F1993" s="74">
        <v>0.35289999999999999</v>
      </c>
      <c r="G1993" s="70">
        <v>0.98707</v>
      </c>
      <c r="H1993" s="74">
        <v>3.2500000000000001E-2</v>
      </c>
    </row>
    <row r="1994" spans="1:8" ht="15.6">
      <c r="A1994" s="468" t="s">
        <v>2422</v>
      </c>
      <c r="B1994" s="67">
        <v>32</v>
      </c>
      <c r="C1994" s="69" t="s">
        <v>422</v>
      </c>
      <c r="D1994" s="71" t="s">
        <v>10</v>
      </c>
      <c r="E1994" s="70">
        <v>10.732519999999999</v>
      </c>
      <c r="F1994" s="74">
        <v>0.35289999999999999</v>
      </c>
      <c r="G1994" s="70">
        <v>0.98707</v>
      </c>
      <c r="H1994" s="74">
        <v>3.2500000000000001E-2</v>
      </c>
    </row>
    <row r="1995" spans="1:8" ht="15.6">
      <c r="A1995" s="468" t="s">
        <v>2423</v>
      </c>
      <c r="B1995" s="67">
        <v>33</v>
      </c>
      <c r="C1995" s="69" t="s">
        <v>422</v>
      </c>
      <c r="D1995" s="71" t="s">
        <v>22</v>
      </c>
      <c r="E1995" s="70">
        <v>47.562539999999998</v>
      </c>
      <c r="F1995" s="74">
        <v>1.5637000000000001</v>
      </c>
      <c r="G1995" s="70">
        <v>5.03599</v>
      </c>
      <c r="H1995" s="74">
        <v>0.1656</v>
      </c>
    </row>
    <row r="1996" spans="1:8" ht="15.6">
      <c r="A1996" s="468" t="s">
        <v>2424</v>
      </c>
      <c r="B1996" s="67">
        <v>34</v>
      </c>
      <c r="C1996" s="69" t="s">
        <v>422</v>
      </c>
      <c r="D1996" s="71" t="s">
        <v>35</v>
      </c>
      <c r="E1996" s="70">
        <v>43.749510000000001</v>
      </c>
      <c r="F1996" s="74">
        <v>1.4382999999999999</v>
      </c>
      <c r="G1996" s="70">
        <v>4.6075999999999997</v>
      </c>
      <c r="H1996" s="74">
        <v>0.1515</v>
      </c>
    </row>
    <row r="1997" spans="1:8" ht="15.6">
      <c r="A1997" s="468" t="s">
        <v>2425</v>
      </c>
      <c r="B1997" s="67">
        <v>35</v>
      </c>
      <c r="C1997" s="69" t="s">
        <v>422</v>
      </c>
      <c r="D1997" s="71" t="s">
        <v>24</v>
      </c>
      <c r="E1997" s="70">
        <v>50.948219999999999</v>
      </c>
      <c r="F1997" s="74">
        <v>1.675</v>
      </c>
      <c r="G1997" s="70">
        <v>5.4163800000000002</v>
      </c>
      <c r="H1997" s="74">
        <v>0.17810000000000001</v>
      </c>
    </row>
    <row r="1998" spans="1:8" ht="15.6">
      <c r="A1998" s="468" t="s">
        <v>2426</v>
      </c>
      <c r="B1998" s="67">
        <v>36</v>
      </c>
      <c r="C1998" s="69" t="s">
        <v>422</v>
      </c>
      <c r="D1998" s="71" t="s">
        <v>37</v>
      </c>
      <c r="E1998" s="70">
        <v>45.767650000000003</v>
      </c>
      <c r="F1998" s="74">
        <v>1.5046999999999999</v>
      </c>
      <c r="G1998" s="70">
        <v>4.8343100000000003</v>
      </c>
      <c r="H1998" s="74">
        <v>0.15890000000000001</v>
      </c>
    </row>
    <row r="1999" spans="1:8" ht="15.6">
      <c r="A1999" s="468" t="s">
        <v>2427</v>
      </c>
      <c r="B1999" s="67">
        <v>37</v>
      </c>
      <c r="C1999" s="69" t="s">
        <v>422</v>
      </c>
      <c r="D1999" s="71" t="s">
        <v>38</v>
      </c>
      <c r="E1999" s="70">
        <v>37.025300000000001</v>
      </c>
      <c r="F1999" s="74">
        <v>1.2173</v>
      </c>
      <c r="G1999" s="70">
        <v>4.1589700000000001</v>
      </c>
      <c r="H1999" s="74">
        <v>0.13669999999999999</v>
      </c>
    </row>
    <row r="2000" spans="1:8" ht="15.6">
      <c r="A2000" s="468" t="s">
        <v>2428</v>
      </c>
      <c r="B2000" s="67">
        <v>38</v>
      </c>
      <c r="C2000" s="69" t="s">
        <v>422</v>
      </c>
      <c r="D2000" s="71" t="s">
        <v>26</v>
      </c>
      <c r="E2000" s="70">
        <v>51.264859999999999</v>
      </c>
      <c r="F2000" s="74">
        <v>1.6854</v>
      </c>
      <c r="G2000" s="70">
        <v>5.4519200000000003</v>
      </c>
      <c r="H2000" s="74">
        <v>0.1792</v>
      </c>
    </row>
    <row r="2001" spans="1:8" ht="15.6">
      <c r="A2001" s="468" t="s">
        <v>2429</v>
      </c>
      <c r="B2001" s="67">
        <v>39</v>
      </c>
      <c r="C2001" s="69" t="s">
        <v>422</v>
      </c>
      <c r="D2001" s="71" t="s">
        <v>52</v>
      </c>
      <c r="E2001" s="70">
        <v>10.376340000000001</v>
      </c>
      <c r="F2001" s="74">
        <v>0.34110000000000001</v>
      </c>
      <c r="G2001" s="70">
        <v>0.94410000000000005</v>
      </c>
      <c r="H2001" s="74">
        <v>3.1E-2</v>
      </c>
    </row>
    <row r="2002" spans="1:8" ht="15.6">
      <c r="A2002" s="468" t="s">
        <v>2430</v>
      </c>
      <c r="B2002" s="67">
        <v>40</v>
      </c>
      <c r="C2002" s="69" t="s">
        <v>422</v>
      </c>
      <c r="D2002" s="71" t="s">
        <v>40</v>
      </c>
      <c r="E2002" s="70">
        <v>37.158830000000002</v>
      </c>
      <c r="F2002" s="74">
        <v>1.2217</v>
      </c>
      <c r="G2002" s="70">
        <v>4.1750600000000002</v>
      </c>
      <c r="H2002" s="74">
        <v>0.13730000000000001</v>
      </c>
    </row>
    <row r="2003" spans="1:8" ht="15.6">
      <c r="A2003" s="468" t="s">
        <v>2431</v>
      </c>
      <c r="B2003" s="67">
        <v>41</v>
      </c>
      <c r="C2003" s="69" t="s">
        <v>422</v>
      </c>
      <c r="D2003" s="71" t="s">
        <v>34</v>
      </c>
      <c r="E2003" s="70">
        <v>3.7853500000000002</v>
      </c>
      <c r="F2003" s="74">
        <v>0.1245</v>
      </c>
      <c r="G2003" s="70">
        <v>0.14896000000000001</v>
      </c>
      <c r="H2003" s="74">
        <v>4.8999999999999998E-3</v>
      </c>
    </row>
    <row r="2004" spans="1:8" ht="15.6">
      <c r="A2004" s="468" t="s">
        <v>2432</v>
      </c>
      <c r="B2004" s="67">
        <v>42</v>
      </c>
      <c r="C2004" s="69" t="s">
        <v>422</v>
      </c>
      <c r="D2004" s="71" t="s">
        <v>54</v>
      </c>
      <c r="E2004" s="70">
        <v>40.33128</v>
      </c>
      <c r="F2004" s="74">
        <v>1.3260000000000001</v>
      </c>
      <c r="G2004" s="70">
        <v>4.22356</v>
      </c>
      <c r="H2004" s="74">
        <v>0.1389</v>
      </c>
    </row>
    <row r="2005" spans="1:8" ht="15.6">
      <c r="A2005" s="66"/>
      <c r="B2005" s="81"/>
      <c r="C2005" s="69"/>
      <c r="D2005" s="69"/>
      <c r="E2005" s="69"/>
      <c r="F2005" s="69"/>
      <c r="G2005" s="69"/>
      <c r="H2005" s="69"/>
    </row>
    <row r="2006" spans="1:8" ht="36.75" customHeight="1">
      <c r="A2006" s="66"/>
      <c r="B2006" s="68" t="s">
        <v>44</v>
      </c>
      <c r="C2006" s="471" t="s">
        <v>288</v>
      </c>
      <c r="D2006" s="471"/>
      <c r="E2006" s="471"/>
      <c r="F2006" s="471"/>
      <c r="G2006" s="471"/>
      <c r="H2006" s="471"/>
    </row>
    <row r="2007" spans="1:8" ht="48" customHeight="1">
      <c r="A2007" s="66"/>
      <c r="B2007" s="67"/>
      <c r="C2007" s="471" t="s">
        <v>289</v>
      </c>
      <c r="D2007" s="471"/>
      <c r="E2007" s="471"/>
      <c r="F2007" s="471"/>
      <c r="G2007" s="471"/>
      <c r="H2007" s="471"/>
    </row>
    <row r="2008" spans="1:8" ht="18.75" customHeight="1">
      <c r="A2008" s="66"/>
      <c r="B2008" s="80"/>
      <c r="C2008" s="471" t="s">
        <v>290</v>
      </c>
      <c r="D2008" s="471"/>
      <c r="E2008" s="471"/>
      <c r="F2008" s="471"/>
      <c r="G2008" s="471"/>
      <c r="H2008" s="455"/>
    </row>
    <row r="2009" spans="1:8" ht="37.5" customHeight="1">
      <c r="A2009" s="66"/>
      <c r="B2009" s="67"/>
      <c r="C2009" s="471" t="s">
        <v>291</v>
      </c>
      <c r="D2009" s="471"/>
      <c r="E2009" s="471"/>
      <c r="F2009" s="471"/>
      <c r="G2009" s="471"/>
      <c r="H2009" s="471"/>
    </row>
    <row r="2010" spans="1:8" ht="62.25" customHeight="1">
      <c r="A2010" s="66"/>
      <c r="B2010" s="67"/>
      <c r="C2010" s="471" t="s">
        <v>420</v>
      </c>
      <c r="D2010" s="471"/>
      <c r="E2010" s="471"/>
      <c r="F2010" s="471"/>
      <c r="G2010" s="471"/>
      <c r="H2010" s="471"/>
    </row>
    <row r="2011" spans="1:8" ht="37.5" customHeight="1">
      <c r="A2011" s="66"/>
      <c r="B2011" s="67"/>
      <c r="C2011" s="474" t="s">
        <v>417</v>
      </c>
      <c r="D2011" s="474"/>
      <c r="E2011" s="474"/>
      <c r="F2011" s="474"/>
      <c r="G2011" s="474"/>
      <c r="H2011" s="474"/>
    </row>
    <row r="2012" spans="1:8" ht="15.6">
      <c r="B2012" s="67"/>
    </row>
    <row r="2013" spans="1:8" ht="15.6">
      <c r="B2013" s="67"/>
    </row>
    <row r="2014" spans="1:8" ht="15.6">
      <c r="B2014" s="67"/>
    </row>
    <row r="2015" spans="1:8" ht="15.6">
      <c r="B2015" s="67"/>
    </row>
    <row r="2016" spans="1:8" ht="15.6">
      <c r="B2016" s="67"/>
    </row>
    <row r="2017" spans="2:2" ht="15.6">
      <c r="B2017" s="67"/>
    </row>
    <row r="2018" spans="2:2" ht="15.6">
      <c r="B2018" s="67"/>
    </row>
    <row r="2019" spans="2:2" ht="15.6">
      <c r="B2019" s="67"/>
    </row>
    <row r="2020" spans="2:2" ht="15.6">
      <c r="B2020" s="67"/>
    </row>
    <row r="2021" spans="2:2" ht="15.6">
      <c r="B2021" s="67"/>
    </row>
    <row r="2022" spans="2:2" ht="15.6">
      <c r="B2022" s="67"/>
    </row>
    <row r="2023" spans="2:2" ht="15.6">
      <c r="B2023" s="67"/>
    </row>
    <row r="2024" spans="2:2" ht="15.6">
      <c r="B2024" s="67"/>
    </row>
    <row r="2025" spans="2:2" ht="15.6">
      <c r="B2025" s="67"/>
    </row>
    <row r="2026" spans="2:2" ht="15.6">
      <c r="B2026" s="67"/>
    </row>
    <row r="2027" spans="2:2" ht="15.6">
      <c r="B2027" s="67"/>
    </row>
    <row r="2028" spans="2:2" ht="15.6">
      <c r="B2028" s="67"/>
    </row>
    <row r="2029" spans="2:2" ht="15.6">
      <c r="B2029" s="67"/>
    </row>
    <row r="2030" spans="2:2" ht="15.6">
      <c r="B2030" s="67"/>
    </row>
    <row r="2031" spans="2:2" ht="15.6">
      <c r="B2031" s="67"/>
    </row>
    <row r="2032" spans="2:2" ht="15.6">
      <c r="B2032" s="67"/>
    </row>
    <row r="2033" spans="2:2" ht="15.6">
      <c r="B2033" s="67"/>
    </row>
    <row r="2034" spans="2:2" ht="15.6">
      <c r="B2034" s="67"/>
    </row>
    <row r="2035" spans="2:2" ht="15.6">
      <c r="B2035" s="67"/>
    </row>
    <row r="2036" spans="2:2" ht="15.6">
      <c r="B2036" s="67"/>
    </row>
    <row r="2037" spans="2:2" ht="15.6">
      <c r="B2037" s="67"/>
    </row>
    <row r="2038" spans="2:2" ht="15.6">
      <c r="B2038" s="67"/>
    </row>
    <row r="2039" spans="2:2" ht="15.6">
      <c r="B2039" s="67"/>
    </row>
    <row r="2040" spans="2:2" ht="15.6">
      <c r="B2040" s="67"/>
    </row>
    <row r="2041" spans="2:2" ht="15.6">
      <c r="B2041" s="67"/>
    </row>
    <row r="2042" spans="2:2" ht="15.6">
      <c r="B2042" s="67"/>
    </row>
    <row r="2043" spans="2:2" ht="15.6">
      <c r="B2043" s="67"/>
    </row>
    <row r="2044" spans="2:2" ht="15.6">
      <c r="B2044" s="67"/>
    </row>
    <row r="2045" spans="2:2" ht="15.6">
      <c r="B2045" s="67"/>
    </row>
    <row r="2046" spans="2:2" ht="15.6">
      <c r="B2046" s="67"/>
    </row>
    <row r="2047" spans="2:2" ht="15.6">
      <c r="B2047" s="67"/>
    </row>
    <row r="2048" spans="2:2" ht="15.6">
      <c r="B2048" s="67"/>
    </row>
    <row r="2049" spans="2:2" ht="15.6">
      <c r="B2049" s="67"/>
    </row>
    <row r="2050" spans="2:2" ht="15.6">
      <c r="B2050" s="67"/>
    </row>
    <row r="2051" spans="2:2" ht="15.6">
      <c r="B2051" s="67"/>
    </row>
    <row r="2052" spans="2:2" ht="15.6">
      <c r="B2052" s="67"/>
    </row>
    <row r="2053" spans="2:2" ht="15.6">
      <c r="B2053" s="67"/>
    </row>
    <row r="2054" spans="2:2" ht="15.6">
      <c r="B2054" s="67"/>
    </row>
    <row r="2055" spans="2:2" ht="15.6">
      <c r="B2055" s="67"/>
    </row>
    <row r="2056" spans="2:2" ht="15.6">
      <c r="B2056" s="67"/>
    </row>
    <row r="2057" spans="2:2" ht="15.6">
      <c r="B2057" s="67"/>
    </row>
    <row r="2058" spans="2:2" ht="15.6">
      <c r="B2058" s="67"/>
    </row>
    <row r="2059" spans="2:2" ht="15.6">
      <c r="B2059" s="67"/>
    </row>
    <row r="2060" spans="2:2" ht="15.6">
      <c r="B2060" s="67"/>
    </row>
    <row r="2061" spans="2:2" ht="15.6">
      <c r="B2061" s="67"/>
    </row>
    <row r="2062" spans="2:2" ht="15.6">
      <c r="B2062" s="67"/>
    </row>
    <row r="2063" spans="2:2" ht="15.6">
      <c r="B2063" s="67"/>
    </row>
    <row r="2064" spans="2:2" ht="15.6">
      <c r="B2064" s="67"/>
    </row>
    <row r="2065" spans="2:2" ht="15.6">
      <c r="B2065" s="67"/>
    </row>
    <row r="2066" spans="2:2" ht="15.6">
      <c r="B2066" s="67"/>
    </row>
    <row r="2067" spans="2:2" ht="15.6">
      <c r="B2067" s="67"/>
    </row>
    <row r="2068" spans="2:2" ht="15.6">
      <c r="B2068" s="67"/>
    </row>
    <row r="2069" spans="2:2" ht="15.6">
      <c r="B2069" s="67"/>
    </row>
    <row r="2070" spans="2:2" ht="15.6">
      <c r="B2070" s="67"/>
    </row>
    <row r="2071" spans="2:2" ht="15.6">
      <c r="B2071" s="67"/>
    </row>
    <row r="2072" spans="2:2" ht="15.6">
      <c r="B2072" s="67"/>
    </row>
    <row r="2073" spans="2:2" ht="15.6">
      <c r="B2073" s="67"/>
    </row>
    <row r="2074" spans="2:2" ht="15.6">
      <c r="B2074" s="67"/>
    </row>
    <row r="2075" spans="2:2" ht="15.6">
      <c r="B2075" s="67"/>
    </row>
    <row r="2076" spans="2:2" ht="15.6">
      <c r="B2076" s="67"/>
    </row>
    <row r="2077" spans="2:2" ht="15.6">
      <c r="B2077" s="67"/>
    </row>
    <row r="2078" spans="2:2" ht="15.6">
      <c r="B2078" s="67"/>
    </row>
    <row r="2079" spans="2:2" ht="15.6">
      <c r="B2079" s="67"/>
    </row>
    <row r="2080" spans="2:2" ht="15.6">
      <c r="B2080" s="67"/>
    </row>
    <row r="2081" spans="2:2" ht="15.6">
      <c r="B2081" s="67"/>
    </row>
    <row r="2082" spans="2:2" ht="15.6">
      <c r="B2082" s="67"/>
    </row>
    <row r="2083" spans="2:2" ht="15.6">
      <c r="B2083" s="67"/>
    </row>
    <row r="2084" spans="2:2" ht="15.6">
      <c r="B2084" s="67"/>
    </row>
    <row r="2085" spans="2:2" ht="15.6">
      <c r="B2085" s="67"/>
    </row>
    <row r="2086" spans="2:2" ht="15.6">
      <c r="B2086" s="67"/>
    </row>
    <row r="2087" spans="2:2" ht="15.6">
      <c r="B2087" s="67"/>
    </row>
    <row r="2088" spans="2:2" ht="15.6">
      <c r="B2088" s="67"/>
    </row>
    <row r="2089" spans="2:2" ht="15.6">
      <c r="B2089" s="67"/>
    </row>
    <row r="2090" spans="2:2" ht="15.6">
      <c r="B2090" s="67"/>
    </row>
    <row r="2091" spans="2:2" ht="15.6">
      <c r="B2091" s="67"/>
    </row>
    <row r="2092" spans="2:2" ht="15.6">
      <c r="B2092" s="67"/>
    </row>
    <row r="2093" spans="2:2" ht="15.6">
      <c r="B2093" s="67"/>
    </row>
    <row r="2094" spans="2:2" ht="15.6">
      <c r="B2094" s="67"/>
    </row>
    <row r="2095" spans="2:2" ht="15.6">
      <c r="B2095" s="67"/>
    </row>
    <row r="2096" spans="2:2" ht="15.6">
      <c r="B2096" s="67"/>
    </row>
    <row r="2097" spans="2:2" ht="15.6">
      <c r="B2097" s="67"/>
    </row>
    <row r="2098" spans="2:2" ht="15.6">
      <c r="B2098" s="67"/>
    </row>
    <row r="2099" spans="2:2" ht="15.6">
      <c r="B2099" s="67"/>
    </row>
    <row r="2100" spans="2:2" ht="15.6">
      <c r="B2100" s="67"/>
    </row>
    <row r="2101" spans="2:2" ht="15.6">
      <c r="B2101" s="67"/>
    </row>
    <row r="2102" spans="2:2" ht="15.6">
      <c r="B2102" s="67"/>
    </row>
    <row r="2103" spans="2:2" ht="15.6">
      <c r="B2103" s="67"/>
    </row>
    <row r="2104" spans="2:2" ht="15.6">
      <c r="B2104" s="67"/>
    </row>
    <row r="2105" spans="2:2" ht="15.6">
      <c r="B2105" s="67"/>
    </row>
    <row r="2106" spans="2:2" ht="15.6">
      <c r="B2106" s="67"/>
    </row>
    <row r="2107" spans="2:2" ht="15.6">
      <c r="B2107" s="67"/>
    </row>
    <row r="2108" spans="2:2" ht="15.6">
      <c r="B2108" s="67"/>
    </row>
    <row r="2109" spans="2:2" ht="15.6">
      <c r="B2109" s="67"/>
    </row>
    <row r="2110" spans="2:2" ht="15.6">
      <c r="B2110" s="67"/>
    </row>
    <row r="2111" spans="2:2" ht="15.6">
      <c r="B2111" s="67"/>
    </row>
    <row r="2112" spans="2:2" ht="15.6">
      <c r="B2112" s="67"/>
    </row>
    <row r="2113" spans="2:2" ht="15.6">
      <c r="B2113" s="67"/>
    </row>
    <row r="2114" spans="2:2" ht="15.6">
      <c r="B2114" s="67"/>
    </row>
    <row r="2115" spans="2:2" ht="15.6">
      <c r="B2115" s="67"/>
    </row>
    <row r="2116" spans="2:2" ht="15.6">
      <c r="B2116" s="67"/>
    </row>
    <row r="2117" spans="2:2" ht="15.6">
      <c r="B2117" s="67"/>
    </row>
    <row r="2118" spans="2:2" ht="15.6">
      <c r="B2118" s="67"/>
    </row>
    <row r="2119" spans="2:2" ht="15.6">
      <c r="B2119" s="67"/>
    </row>
    <row r="2120" spans="2:2" ht="15.6">
      <c r="B2120" s="67"/>
    </row>
    <row r="2121" spans="2:2" ht="15.6">
      <c r="B2121" s="67"/>
    </row>
    <row r="2122" spans="2:2" ht="15.6">
      <c r="B2122" s="67"/>
    </row>
    <row r="2123" spans="2:2" ht="15.6">
      <c r="B2123" s="67"/>
    </row>
    <row r="2124" spans="2:2" ht="15.6">
      <c r="B2124" s="67"/>
    </row>
    <row r="2125" spans="2:2" ht="15.6">
      <c r="B2125" s="67"/>
    </row>
    <row r="2126" spans="2:2" ht="15.6">
      <c r="B2126" s="67"/>
    </row>
    <row r="2127" spans="2:2" ht="15.6">
      <c r="B2127" s="67"/>
    </row>
    <row r="2128" spans="2:2" ht="15.6">
      <c r="B2128" s="67"/>
    </row>
    <row r="2129" spans="2:2" ht="15.6">
      <c r="B2129" s="67"/>
    </row>
    <row r="2130" spans="2:2" ht="15.6">
      <c r="B2130" s="67"/>
    </row>
    <row r="2131" spans="2:2" ht="15.6">
      <c r="B2131" s="67"/>
    </row>
    <row r="2132" spans="2:2" ht="15.6">
      <c r="B2132" s="67"/>
    </row>
    <row r="2133" spans="2:2" ht="15.6">
      <c r="B2133" s="67"/>
    </row>
    <row r="2134" spans="2:2" ht="15.6">
      <c r="B2134" s="67"/>
    </row>
    <row r="2135" spans="2:2" ht="15.6">
      <c r="B2135" s="67"/>
    </row>
    <row r="2136" spans="2:2" ht="15.6">
      <c r="B2136" s="67"/>
    </row>
    <row r="2137" spans="2:2" ht="15.6">
      <c r="B2137" s="67"/>
    </row>
    <row r="2138" spans="2:2" ht="15.6">
      <c r="B2138" s="67"/>
    </row>
    <row r="2139" spans="2:2" ht="15.6">
      <c r="B2139" s="67"/>
    </row>
    <row r="2140" spans="2:2" ht="15.6">
      <c r="B2140" s="67"/>
    </row>
    <row r="2141" spans="2:2" ht="15.6">
      <c r="B2141" s="67"/>
    </row>
    <row r="2142" spans="2:2" ht="15.6">
      <c r="B2142" s="67"/>
    </row>
    <row r="2143" spans="2:2" ht="15.6">
      <c r="B2143" s="67"/>
    </row>
    <row r="2144" spans="2:2" ht="15.6">
      <c r="B2144" s="67"/>
    </row>
    <row r="2145" spans="2:2" ht="15.6">
      <c r="B2145" s="67"/>
    </row>
    <row r="2146" spans="2:2" ht="15.6">
      <c r="B2146" s="67"/>
    </row>
    <row r="2147" spans="2:2" ht="15.6">
      <c r="B2147" s="67"/>
    </row>
    <row r="2148" spans="2:2" ht="15.6">
      <c r="B2148" s="67"/>
    </row>
    <row r="2149" spans="2:2" ht="15.6">
      <c r="B2149" s="67"/>
    </row>
    <row r="2150" spans="2:2" ht="15.6">
      <c r="B2150" s="67"/>
    </row>
    <row r="2151" spans="2:2" ht="15.6">
      <c r="B2151" s="67"/>
    </row>
    <row r="2152" spans="2:2" ht="15.6">
      <c r="B2152" s="67"/>
    </row>
    <row r="2153" spans="2:2" ht="15.6">
      <c r="B2153" s="67"/>
    </row>
    <row r="2154" spans="2:2" ht="15.6">
      <c r="B2154" s="67"/>
    </row>
    <row r="2155" spans="2:2" ht="15.6">
      <c r="B2155" s="67"/>
    </row>
    <row r="2156" spans="2:2" ht="15.6">
      <c r="B2156" s="67"/>
    </row>
    <row r="2157" spans="2:2" ht="15.6">
      <c r="B2157" s="67"/>
    </row>
    <row r="2158" spans="2:2" ht="15.6">
      <c r="B2158" s="67"/>
    </row>
    <row r="2159" spans="2:2" ht="15.6">
      <c r="B2159" s="67"/>
    </row>
    <row r="2160" spans="2:2" ht="15.6">
      <c r="B2160" s="67"/>
    </row>
    <row r="2161" spans="2:2" ht="15.6">
      <c r="B2161" s="67"/>
    </row>
    <row r="2162" spans="2:2" ht="15.6">
      <c r="B2162" s="67"/>
    </row>
    <row r="2163" spans="2:2" ht="15.6">
      <c r="B2163" s="67"/>
    </row>
    <row r="2164" spans="2:2" ht="15.6">
      <c r="B2164" s="67"/>
    </row>
    <row r="2165" spans="2:2" ht="15.6">
      <c r="B2165" s="67"/>
    </row>
    <row r="2166" spans="2:2" ht="15.6">
      <c r="B2166" s="67"/>
    </row>
    <row r="2167" spans="2:2" ht="15.6">
      <c r="B2167" s="67"/>
    </row>
    <row r="2168" spans="2:2" ht="15.6">
      <c r="B2168" s="67"/>
    </row>
    <row r="2169" spans="2:2" ht="15.6">
      <c r="B2169" s="67"/>
    </row>
    <row r="2170" spans="2:2" ht="15.6">
      <c r="B2170" s="67"/>
    </row>
    <row r="2171" spans="2:2" ht="15.6">
      <c r="B2171" s="67"/>
    </row>
    <row r="2172" spans="2:2" ht="15.6">
      <c r="B2172" s="67"/>
    </row>
    <row r="2173" spans="2:2" ht="15.6">
      <c r="B2173" s="67"/>
    </row>
    <row r="2174" spans="2:2" ht="15.6">
      <c r="B2174" s="67"/>
    </row>
    <row r="2175" spans="2:2" ht="15.6">
      <c r="B2175" s="67"/>
    </row>
    <row r="2176" spans="2:2" ht="15.6">
      <c r="B2176" s="67"/>
    </row>
    <row r="2177" spans="2:2" ht="15.6">
      <c r="B2177" s="67"/>
    </row>
    <row r="2178" spans="2:2" ht="15.6">
      <c r="B2178" s="67"/>
    </row>
    <row r="2179" spans="2:2" ht="15.6">
      <c r="B2179" s="67"/>
    </row>
    <row r="2180" spans="2:2" ht="15.6">
      <c r="B2180" s="67"/>
    </row>
    <row r="2181" spans="2:2" ht="15.6">
      <c r="B2181" s="67"/>
    </row>
    <row r="2182" spans="2:2" ht="15.6">
      <c r="B2182" s="67"/>
    </row>
    <row r="2183" spans="2:2" ht="15.6">
      <c r="B2183" s="67"/>
    </row>
    <row r="2184" spans="2:2" ht="15.6">
      <c r="B2184" s="67"/>
    </row>
    <row r="2185" spans="2:2" ht="15.6">
      <c r="B2185" s="67"/>
    </row>
    <row r="2186" spans="2:2" ht="15.6">
      <c r="B2186" s="67"/>
    </row>
    <row r="2187" spans="2:2" ht="15.6">
      <c r="B2187" s="67"/>
    </row>
    <row r="2188" spans="2:2" ht="15.6">
      <c r="B2188" s="67"/>
    </row>
    <row r="2189" spans="2:2" ht="15.6">
      <c r="B2189" s="67"/>
    </row>
    <row r="2190" spans="2:2" ht="15.6">
      <c r="B2190" s="67"/>
    </row>
    <row r="2191" spans="2:2" ht="15.6">
      <c r="B2191" s="67"/>
    </row>
    <row r="2192" spans="2:2" ht="15.6">
      <c r="B2192" s="67"/>
    </row>
    <row r="2193" spans="2:2" ht="15.6">
      <c r="B2193" s="67"/>
    </row>
    <row r="2194" spans="2:2" ht="15.6">
      <c r="B2194" s="67"/>
    </row>
    <row r="2195" spans="2:2" ht="15.6">
      <c r="B2195" s="67"/>
    </row>
    <row r="2196" spans="2:2" ht="15.6">
      <c r="B2196" s="67"/>
    </row>
    <row r="2197" spans="2:2" ht="15.6">
      <c r="B2197" s="67"/>
    </row>
    <row r="2198" spans="2:2" ht="15.6">
      <c r="B2198" s="67"/>
    </row>
    <row r="2199" spans="2:2" ht="15.6">
      <c r="B2199" s="67"/>
    </row>
    <row r="2200" spans="2:2" ht="15.6">
      <c r="B2200" s="67"/>
    </row>
    <row r="2201" spans="2:2" ht="15.6">
      <c r="B2201" s="67"/>
    </row>
    <row r="2202" spans="2:2" ht="15.6">
      <c r="B2202" s="67"/>
    </row>
    <row r="2203" spans="2:2" ht="15.6">
      <c r="B2203" s="67"/>
    </row>
    <row r="2204" spans="2:2" ht="15.6">
      <c r="B2204" s="67"/>
    </row>
    <row r="2205" spans="2:2" ht="15.6">
      <c r="B2205" s="67"/>
    </row>
    <row r="2206" spans="2:2" ht="15.6">
      <c r="B2206" s="67"/>
    </row>
    <row r="2207" spans="2:2" ht="15.6">
      <c r="B2207" s="67"/>
    </row>
    <row r="2208" spans="2:2" ht="15.6">
      <c r="B2208" s="67"/>
    </row>
    <row r="2209" spans="2:2" ht="15.6">
      <c r="B2209" s="67"/>
    </row>
    <row r="2210" spans="2:2" ht="15.6">
      <c r="B2210" s="67"/>
    </row>
    <row r="2211" spans="2:2" ht="15.6">
      <c r="B2211" s="67"/>
    </row>
    <row r="2212" spans="2:2" ht="15.6">
      <c r="B2212" s="67"/>
    </row>
    <row r="2213" spans="2:2" ht="15.6">
      <c r="B2213" s="67"/>
    </row>
    <row r="2214" spans="2:2" ht="15.6">
      <c r="B2214" s="67"/>
    </row>
    <row r="2215" spans="2:2" ht="15.6">
      <c r="B2215" s="67"/>
    </row>
    <row r="2216" spans="2:2" ht="15.6">
      <c r="B2216" s="67"/>
    </row>
    <row r="2217" spans="2:2" ht="15.6">
      <c r="B2217" s="67"/>
    </row>
    <row r="2218" spans="2:2" ht="15.6">
      <c r="B2218" s="67"/>
    </row>
    <row r="2219" spans="2:2" ht="15.6">
      <c r="B2219" s="67"/>
    </row>
    <row r="2220" spans="2:2" ht="15.6">
      <c r="B2220" s="67"/>
    </row>
    <row r="2221" spans="2:2" ht="15.6">
      <c r="B2221" s="67"/>
    </row>
    <row r="2222" spans="2:2" ht="15.6">
      <c r="B2222" s="67"/>
    </row>
    <row r="2223" spans="2:2" ht="15.6">
      <c r="B2223" s="67"/>
    </row>
    <row r="2224" spans="2:2" ht="15.6">
      <c r="B2224" s="67"/>
    </row>
    <row r="2225" spans="2:2" ht="15.6">
      <c r="B2225" s="67"/>
    </row>
    <row r="2226" spans="2:2" ht="15.6">
      <c r="B2226" s="67"/>
    </row>
    <row r="2227" spans="2:2" ht="15.6">
      <c r="B2227" s="67"/>
    </row>
    <row r="2228" spans="2:2" ht="15.6">
      <c r="B2228" s="67"/>
    </row>
    <row r="2229" spans="2:2" ht="15.6">
      <c r="B2229" s="67"/>
    </row>
    <row r="2230" spans="2:2" ht="15.6">
      <c r="B2230" s="67"/>
    </row>
    <row r="2231" spans="2:2" ht="15.6">
      <c r="B2231" s="67"/>
    </row>
    <row r="2232" spans="2:2" ht="15.6">
      <c r="B2232" s="67"/>
    </row>
    <row r="2233" spans="2:2" ht="15.6">
      <c r="B2233" s="67"/>
    </row>
    <row r="2234" spans="2:2" ht="15.6">
      <c r="B2234" s="67"/>
    </row>
    <row r="2235" spans="2:2" ht="15.6">
      <c r="B2235" s="67"/>
    </row>
    <row r="2236" spans="2:2" ht="15.6">
      <c r="B2236" s="67"/>
    </row>
    <row r="2237" spans="2:2" ht="15.6">
      <c r="B2237" s="67"/>
    </row>
    <row r="2238" spans="2:2" ht="15.6">
      <c r="B2238" s="67"/>
    </row>
    <row r="2239" spans="2:2" ht="15.6">
      <c r="B2239" s="67"/>
    </row>
    <row r="2240" spans="2:2" ht="15.6">
      <c r="B2240" s="67"/>
    </row>
    <row r="2241" spans="2:2" ht="15.6">
      <c r="B2241" s="67"/>
    </row>
    <row r="2242" spans="2:2" ht="15.6">
      <c r="B2242" s="67"/>
    </row>
    <row r="2243" spans="2:2" ht="15.6">
      <c r="B2243" s="67"/>
    </row>
    <row r="2244" spans="2:2" ht="15.6">
      <c r="B2244" s="67"/>
    </row>
    <row r="2245" spans="2:2" ht="15.6">
      <c r="B2245" s="67"/>
    </row>
    <row r="2246" spans="2:2" ht="15.6">
      <c r="B2246" s="67"/>
    </row>
    <row r="2247" spans="2:2" ht="15.6">
      <c r="B2247" s="67"/>
    </row>
    <row r="2248" spans="2:2" ht="15.6">
      <c r="B2248" s="67"/>
    </row>
    <row r="2249" spans="2:2" ht="15.6">
      <c r="B2249" s="67"/>
    </row>
    <row r="2250" spans="2:2" ht="15.6">
      <c r="B2250" s="67"/>
    </row>
    <row r="2251" spans="2:2" ht="15.6">
      <c r="B2251" s="67"/>
    </row>
    <row r="2252" spans="2:2" ht="15.6">
      <c r="B2252" s="67"/>
    </row>
    <row r="2253" spans="2:2" ht="15.6">
      <c r="B2253" s="67"/>
    </row>
    <row r="2254" spans="2:2" ht="15.6">
      <c r="B2254" s="67"/>
    </row>
    <row r="2255" spans="2:2" ht="15.6">
      <c r="B2255" s="67"/>
    </row>
    <row r="2256" spans="2:2" ht="15.6">
      <c r="B2256" s="67"/>
    </row>
    <row r="2257" spans="2:2" ht="15.6">
      <c r="B2257" s="67"/>
    </row>
    <row r="2258" spans="2:2" ht="15.6">
      <c r="B2258" s="67"/>
    </row>
    <row r="2259" spans="2:2" ht="15.6">
      <c r="B2259" s="67"/>
    </row>
    <row r="2260" spans="2:2" ht="15.6">
      <c r="B2260" s="67"/>
    </row>
    <row r="2261" spans="2:2" ht="15.6">
      <c r="B2261" s="67"/>
    </row>
    <row r="2262" spans="2:2" ht="15.6">
      <c r="B2262" s="67"/>
    </row>
    <row r="2263" spans="2:2" ht="15.6">
      <c r="B2263" s="67"/>
    </row>
    <row r="2264" spans="2:2" ht="15.6">
      <c r="B2264" s="67"/>
    </row>
    <row r="2265" spans="2:2" ht="15.6">
      <c r="B2265" s="67"/>
    </row>
    <row r="2266" spans="2:2" ht="15.6">
      <c r="B2266" s="67"/>
    </row>
    <row r="2267" spans="2:2" ht="15.6">
      <c r="B2267" s="67"/>
    </row>
    <row r="2268" spans="2:2" ht="15.6">
      <c r="B2268" s="67"/>
    </row>
    <row r="2269" spans="2:2" ht="15.6">
      <c r="B2269" s="67"/>
    </row>
    <row r="2270" spans="2:2" ht="15.6">
      <c r="B2270" s="67"/>
    </row>
    <row r="2271" spans="2:2" ht="15.6">
      <c r="B2271" s="67"/>
    </row>
    <row r="2272" spans="2:2" ht="15.6">
      <c r="B2272" s="67"/>
    </row>
    <row r="2273" spans="2:2" ht="15.6">
      <c r="B2273" s="67"/>
    </row>
    <row r="2274" spans="2:2" ht="15.6">
      <c r="B2274" s="67"/>
    </row>
    <row r="2275" spans="2:2" ht="15.6">
      <c r="B2275" s="67"/>
    </row>
    <row r="2276" spans="2:2" ht="15.6">
      <c r="B2276" s="67"/>
    </row>
    <row r="2277" spans="2:2" ht="15.6">
      <c r="B2277" s="67"/>
    </row>
    <row r="2278" spans="2:2" ht="15.6">
      <c r="B2278" s="67"/>
    </row>
  </sheetData>
  <mergeCells count="12">
    <mergeCell ref="C2011:H2011"/>
    <mergeCell ref="C6:H6"/>
    <mergeCell ref="C7:H7"/>
    <mergeCell ref="C8:G8"/>
    <mergeCell ref="C9:H9"/>
    <mergeCell ref="C10:H10"/>
    <mergeCell ref="C11:H11"/>
    <mergeCell ref="C2006:H2006"/>
    <mergeCell ref="C2007:H2007"/>
    <mergeCell ref="C2008:G2008"/>
    <mergeCell ref="C2009:H2009"/>
    <mergeCell ref="C2010:H2010"/>
  </mergeCells>
  <pageMargins left="1.2" right="0.95" top="0.75" bottom="0.5" header="0.55000000000000004" footer="0.3"/>
  <pageSetup scale="48" firstPageNumber="2" fitToHeight="26" orientation="portrait" r:id="rId1"/>
  <headerFooter>
    <oddHeader>&amp;R&amp;"Arial,Regular"&amp;10Page &amp;P of 29</oddHeader>
  </headerFooter>
  <rowBreaks count="26" manualBreakCount="26">
    <brk id="75" max="7" man="1"/>
    <brk id="152" max="7" man="1"/>
    <brk id="229" max="7" man="1"/>
    <brk id="306" max="7" man="1"/>
    <brk id="383" max="7" man="1"/>
    <brk id="460" max="7" man="1"/>
    <brk id="537" max="7" man="1"/>
    <brk id="614" max="7" man="1"/>
    <brk id="691" max="7" man="1"/>
    <brk id="730" max="7" man="1"/>
    <brk id="807" max="7" man="1"/>
    <brk id="884" max="7" man="1"/>
    <brk id="961" max="7" man="1"/>
    <brk id="1038" max="7" man="1"/>
    <brk id="1115" max="7" man="1"/>
    <brk id="1192" max="7" man="1"/>
    <brk id="1269" max="7" man="1"/>
    <brk id="1346" max="7" man="1"/>
    <brk id="1423" max="7" man="1"/>
    <brk id="1500" max="7" man="1"/>
    <brk id="1577" max="7" man="1"/>
    <brk id="1654" max="7" man="1"/>
    <brk id="1731" max="7" man="1"/>
    <brk id="1808" max="7" man="1"/>
    <brk id="1885" max="7" man="1"/>
    <brk id="1962"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7"/>
  <sheetViews>
    <sheetView zoomScaleNormal="80" workbookViewId="0">
      <pane xSplit="2" ySplit="12" topLeftCell="C50" activePane="bottomRight" state="frozen"/>
      <selection pane="topRight" activeCell="C1" sqref="C1"/>
      <selection pane="bottomLeft" activeCell="A14" sqref="A14"/>
      <selection pane="bottomRight" activeCell="D78" sqref="D78"/>
    </sheetView>
  </sheetViews>
  <sheetFormatPr defaultColWidth="14" defaultRowHeight="11.4" outlineLevelRow="1"/>
  <cols>
    <col min="1" max="1" width="4.33203125" style="356" customWidth="1"/>
    <col min="2" max="2" width="15.109375" style="356" customWidth="1"/>
    <col min="3" max="3" width="50.33203125" style="356" customWidth="1"/>
    <col min="4" max="4" width="9" style="356" customWidth="1"/>
    <col min="5" max="5" width="2.5546875" style="356" customWidth="1"/>
    <col min="6" max="6" width="11.33203125" style="356" customWidth="1"/>
    <col min="7" max="7" width="2" style="356" hidden="1" customWidth="1"/>
    <col min="8" max="8" width="1.6640625" style="356" customWidth="1"/>
    <col min="9" max="9" width="13.33203125" style="356" customWidth="1"/>
    <col min="10" max="10" width="39.33203125" style="356" customWidth="1"/>
    <col min="11" max="12" width="20.44140625" style="356" customWidth="1"/>
    <col min="13" max="16384" width="14" style="356"/>
  </cols>
  <sheetData>
    <row r="1" spans="1:12" ht="39.75" customHeight="1">
      <c r="A1" s="386" t="s">
        <v>292</v>
      </c>
      <c r="B1" s="387"/>
      <c r="C1" s="387"/>
      <c r="D1" s="387"/>
      <c r="E1" s="387"/>
      <c r="F1" s="387"/>
      <c r="G1" s="387"/>
      <c r="H1" s="387"/>
      <c r="I1" s="388"/>
      <c r="J1" s="387"/>
      <c r="K1" s="387"/>
      <c r="L1" s="387"/>
    </row>
    <row r="2" spans="1:12">
      <c r="A2" s="387"/>
      <c r="B2" s="387"/>
      <c r="C2" s="387"/>
      <c r="D2" s="387"/>
      <c r="E2" s="387"/>
      <c r="F2" s="387"/>
      <c r="G2" s="387"/>
      <c r="H2" s="387"/>
      <c r="I2" s="388"/>
      <c r="J2" s="387"/>
      <c r="K2" s="387"/>
      <c r="L2" s="387"/>
    </row>
    <row r="3" spans="1:12" ht="12" customHeight="1">
      <c r="A3" s="387"/>
      <c r="B3" s="387"/>
      <c r="C3" s="387"/>
      <c r="D3" s="387"/>
      <c r="E3" s="387"/>
      <c r="F3" s="387"/>
      <c r="G3" s="387"/>
      <c r="H3" s="387"/>
      <c r="I3" s="388"/>
      <c r="J3" s="387"/>
      <c r="K3" s="387"/>
      <c r="L3" s="387"/>
    </row>
    <row r="4" spans="1:12" ht="12" customHeight="1">
      <c r="A4" s="387"/>
      <c r="B4" s="387"/>
      <c r="C4" s="387"/>
      <c r="D4" s="387"/>
      <c r="E4" s="387"/>
      <c r="F4" s="387"/>
      <c r="G4" s="387"/>
      <c r="H4" s="387"/>
      <c r="I4" s="388"/>
      <c r="J4" s="387"/>
      <c r="K4" s="387"/>
      <c r="L4" s="387"/>
    </row>
    <row r="5" spans="1:12" ht="12" customHeight="1">
      <c r="A5" s="387"/>
      <c r="B5" s="387"/>
      <c r="C5" s="387"/>
      <c r="D5" s="387"/>
      <c r="E5" s="387"/>
      <c r="F5" s="387"/>
      <c r="G5" s="387"/>
      <c r="H5" s="387"/>
      <c r="I5" s="388"/>
      <c r="J5" s="387"/>
      <c r="K5" s="387"/>
      <c r="L5" s="387"/>
    </row>
    <row r="6" spans="1:12" ht="12.75" customHeight="1">
      <c r="A6" s="387"/>
      <c r="B6" s="387"/>
      <c r="C6" s="387"/>
      <c r="D6" s="387"/>
      <c r="E6" s="387"/>
      <c r="F6" s="387"/>
      <c r="G6" s="387"/>
      <c r="H6" s="387"/>
      <c r="I6" s="389"/>
      <c r="J6" s="387"/>
      <c r="K6" s="387"/>
      <c r="L6" s="387"/>
    </row>
    <row r="7" spans="1:12" ht="13.2">
      <c r="A7" s="390" t="s">
        <v>293</v>
      </c>
      <c r="B7" s="387"/>
      <c r="C7" s="387"/>
      <c r="D7" s="391"/>
      <c r="E7" s="391"/>
      <c r="F7" s="392"/>
      <c r="G7" s="392"/>
      <c r="H7" s="393"/>
      <c r="I7" s="394"/>
      <c r="J7" s="387"/>
      <c r="K7" s="387"/>
      <c r="L7" s="387"/>
    </row>
    <row r="8" spans="1:12">
      <c r="A8" s="395" t="s">
        <v>294</v>
      </c>
      <c r="B8" s="387"/>
      <c r="C8" s="387"/>
      <c r="D8" s="393"/>
      <c r="E8" s="393"/>
      <c r="F8" s="396"/>
      <c r="G8" s="396"/>
      <c r="H8" s="391"/>
      <c r="I8" s="391"/>
      <c r="J8" s="387"/>
      <c r="K8" s="387"/>
      <c r="L8" s="387"/>
    </row>
    <row r="9" spans="1:12">
      <c r="A9" s="397"/>
      <c r="B9" s="387"/>
      <c r="C9" s="387"/>
      <c r="D9" s="393"/>
      <c r="E9" s="393"/>
      <c r="F9" s="396"/>
      <c r="G9" s="396"/>
      <c r="H9" s="391"/>
      <c r="I9" s="398"/>
      <c r="J9" s="387"/>
      <c r="K9" s="387"/>
      <c r="L9" s="387"/>
    </row>
    <row r="10" spans="1:12">
      <c r="A10" s="399" t="s">
        <v>295</v>
      </c>
      <c r="B10" s="399"/>
      <c r="C10" s="399"/>
      <c r="D10" s="400"/>
      <c r="E10" s="401"/>
      <c r="F10" s="402"/>
      <c r="G10" s="402"/>
      <c r="H10" s="387"/>
      <c r="I10" s="398"/>
      <c r="J10" s="387"/>
      <c r="K10" s="387"/>
      <c r="L10" s="387"/>
    </row>
    <row r="11" spans="1:12">
      <c r="A11" s="403" t="s">
        <v>296</v>
      </c>
      <c r="B11" s="403"/>
      <c r="C11" s="404" t="s">
        <v>297</v>
      </c>
      <c r="D11" s="403" t="s">
        <v>298</v>
      </c>
      <c r="E11" s="403"/>
      <c r="F11" s="405" t="s">
        <v>299</v>
      </c>
      <c r="G11" s="405"/>
      <c r="H11" s="403"/>
      <c r="I11" s="406">
        <v>2015</v>
      </c>
      <c r="J11" s="387"/>
      <c r="K11" s="387"/>
      <c r="L11" s="387"/>
    </row>
    <row r="12" spans="1:12">
      <c r="A12" s="399"/>
      <c r="B12" s="399"/>
      <c r="C12" s="407" t="s">
        <v>300</v>
      </c>
      <c r="D12" s="399" t="s">
        <v>5</v>
      </c>
      <c r="E12" s="393"/>
      <c r="F12" s="408" t="s">
        <v>6</v>
      </c>
      <c r="G12" s="408"/>
      <c r="H12" s="399"/>
      <c r="I12" s="399" t="s">
        <v>7</v>
      </c>
      <c r="J12" s="387"/>
      <c r="K12" s="387" t="s">
        <v>404</v>
      </c>
      <c r="L12" s="387"/>
    </row>
    <row r="13" spans="1:12">
      <c r="A13" s="399"/>
      <c r="B13" s="399"/>
      <c r="C13" s="407"/>
      <c r="D13" s="399"/>
      <c r="E13" s="393"/>
      <c r="F13" s="408"/>
      <c r="G13" s="408"/>
      <c r="H13" s="399"/>
      <c r="I13" s="399"/>
      <c r="J13" s="387"/>
      <c r="K13" s="387"/>
      <c r="L13" s="387"/>
    </row>
    <row r="14" spans="1:12">
      <c r="A14" s="399"/>
      <c r="B14" s="404" t="s">
        <v>301</v>
      </c>
      <c r="C14" s="409"/>
      <c r="D14" s="403" t="s">
        <v>302</v>
      </c>
      <c r="E14" s="410"/>
      <c r="F14" s="405" t="s">
        <v>303</v>
      </c>
      <c r="G14" s="405"/>
      <c r="H14" s="409"/>
      <c r="I14" s="411" t="s">
        <v>304</v>
      </c>
      <c r="J14" s="387"/>
      <c r="K14" s="387"/>
      <c r="L14" s="387"/>
    </row>
    <row r="15" spans="1:12">
      <c r="A15" s="399"/>
      <c r="B15" s="407"/>
      <c r="C15" s="407"/>
      <c r="D15" s="407"/>
      <c r="E15" s="407"/>
      <c r="F15" s="408"/>
      <c r="G15" s="408"/>
      <c r="H15" s="387"/>
      <c r="I15" s="412"/>
      <c r="J15" s="387"/>
      <c r="K15" s="387"/>
      <c r="L15" s="387"/>
    </row>
    <row r="16" spans="1:12">
      <c r="A16" s="399"/>
      <c r="B16" s="407" t="s">
        <v>305</v>
      </c>
      <c r="C16" s="407"/>
      <c r="D16" s="407"/>
      <c r="E16" s="407"/>
      <c r="F16" s="408"/>
      <c r="G16" s="408"/>
      <c r="H16" s="387"/>
      <c r="I16" s="412"/>
      <c r="J16" s="387"/>
      <c r="K16" s="387"/>
      <c r="L16" s="387"/>
    </row>
    <row r="17" spans="1:12">
      <c r="A17" s="399">
        <v>1</v>
      </c>
      <c r="B17" s="413" t="s">
        <v>11</v>
      </c>
      <c r="C17" s="414" t="s">
        <v>306</v>
      </c>
      <c r="D17" s="415">
        <v>8.5169999999999995</v>
      </c>
      <c r="E17" s="415"/>
      <c r="F17" s="416">
        <v>0</v>
      </c>
      <c r="G17" s="417"/>
      <c r="H17" s="387"/>
      <c r="I17" s="418">
        <f>ROUND(D17*F17*12/1000,0)</f>
        <v>0</v>
      </c>
      <c r="J17" s="387" t="s">
        <v>307</v>
      </c>
      <c r="K17" s="387"/>
      <c r="L17" s="387"/>
    </row>
    <row r="18" spans="1:12">
      <c r="A18" s="399"/>
      <c r="B18" s="413"/>
      <c r="C18" s="407"/>
      <c r="D18" s="415"/>
      <c r="E18" s="415"/>
      <c r="F18" s="387"/>
      <c r="G18" s="387"/>
      <c r="H18" s="387"/>
      <c r="I18" s="418"/>
      <c r="J18" s="387"/>
      <c r="K18" s="387"/>
      <c r="L18" s="387"/>
    </row>
    <row r="19" spans="1:12">
      <c r="A19" s="399">
        <f>A17+1</f>
        <v>2</v>
      </c>
      <c r="B19" s="413" t="s">
        <v>11</v>
      </c>
      <c r="C19" s="407" t="s">
        <v>308</v>
      </c>
      <c r="D19" s="419">
        <v>1.0800000000000001E-2</v>
      </c>
      <c r="E19" s="419"/>
      <c r="F19" s="416">
        <v>0</v>
      </c>
      <c r="G19" s="402"/>
      <c r="H19" s="420"/>
      <c r="I19" s="418">
        <f>ROUND(D19*F19/1000,0)</f>
        <v>0</v>
      </c>
      <c r="J19" s="387"/>
      <c r="K19" s="387"/>
      <c r="L19" s="387"/>
    </row>
    <row r="20" spans="1:12">
      <c r="A20" s="399">
        <f>A19+1</f>
        <v>3</v>
      </c>
      <c r="B20" s="413" t="s">
        <v>11</v>
      </c>
      <c r="C20" s="407" t="s">
        <v>309</v>
      </c>
      <c r="D20" s="419">
        <v>0</v>
      </c>
      <c r="E20" s="419"/>
      <c r="F20" s="421">
        <v>0</v>
      </c>
      <c r="G20" s="402"/>
      <c r="H20" s="420"/>
      <c r="I20" s="418">
        <f>ROUND(D20*F20/1000,0)</f>
        <v>0</v>
      </c>
      <c r="J20" s="387"/>
      <c r="K20" s="387"/>
      <c r="L20" s="387"/>
    </row>
    <row r="21" spans="1:12">
      <c r="A21" s="399">
        <f>A20+1</f>
        <v>4</v>
      </c>
      <c r="B21" s="399"/>
      <c r="C21" s="407" t="s">
        <v>310</v>
      </c>
      <c r="D21" s="419">
        <v>1.8E-3</v>
      </c>
      <c r="E21" s="419"/>
      <c r="F21" s="421">
        <f>F20</f>
        <v>0</v>
      </c>
      <c r="G21" s="402"/>
      <c r="H21" s="420"/>
      <c r="I21" s="418">
        <f>ROUND(D21*F21/1000,0)</f>
        <v>0</v>
      </c>
      <c r="J21" s="387"/>
      <c r="K21" s="387"/>
      <c r="L21" s="387"/>
    </row>
    <row r="22" spans="1:12" ht="15" customHeight="1">
      <c r="A22" s="399">
        <f>A21+1</f>
        <v>5</v>
      </c>
      <c r="B22" s="422"/>
      <c r="C22" s="423" t="s">
        <v>311</v>
      </c>
      <c r="D22" s="424"/>
      <c r="E22" s="424"/>
      <c r="F22" s="425"/>
      <c r="G22" s="425"/>
      <c r="H22" s="425"/>
      <c r="I22" s="426">
        <f>SUM(I17:I21)</f>
        <v>0</v>
      </c>
      <c r="J22" s="387"/>
      <c r="K22" s="387"/>
      <c r="L22" s="387"/>
    </row>
    <row r="23" spans="1:12">
      <c r="A23" s="399"/>
      <c r="B23" s="399"/>
      <c r="C23" s="407"/>
      <c r="D23" s="419"/>
      <c r="E23" s="419"/>
      <c r="F23" s="387"/>
      <c r="G23" s="387"/>
      <c r="H23" s="387"/>
      <c r="I23" s="418"/>
      <c r="J23" s="387"/>
      <c r="K23" s="387"/>
      <c r="L23" s="387"/>
    </row>
    <row r="24" spans="1:12">
      <c r="A24" s="399"/>
      <c r="B24" s="407" t="s">
        <v>312</v>
      </c>
      <c r="C24" s="407"/>
      <c r="D24" s="419"/>
      <c r="E24" s="419"/>
      <c r="F24" s="402"/>
      <c r="G24" s="402"/>
      <c r="H24" s="387"/>
      <c r="I24" s="427"/>
      <c r="J24" s="387"/>
      <c r="K24" s="387"/>
      <c r="L24" s="387"/>
    </row>
    <row r="25" spans="1:12">
      <c r="A25" s="399">
        <f>A22+1</f>
        <v>6</v>
      </c>
      <c r="B25" s="413" t="s">
        <v>11</v>
      </c>
      <c r="C25" s="387" t="s">
        <v>313</v>
      </c>
      <c r="D25" s="428">
        <v>11.442</v>
      </c>
      <c r="E25" s="415"/>
      <c r="F25" s="421">
        <v>313727</v>
      </c>
      <c r="G25" s="402"/>
      <c r="H25" s="387"/>
      <c r="I25" s="427">
        <f>ROUND(D25*F25*12/1000,0)</f>
        <v>43076</v>
      </c>
      <c r="J25" s="387" t="s">
        <v>314</v>
      </c>
      <c r="K25" s="387"/>
      <c r="L25" s="387"/>
    </row>
    <row r="26" spans="1:12">
      <c r="A26" s="399">
        <f>A25+1</f>
        <v>7</v>
      </c>
      <c r="B26" s="413" t="s">
        <v>11</v>
      </c>
      <c r="C26" s="387" t="s">
        <v>315</v>
      </c>
      <c r="D26" s="428">
        <v>3.65</v>
      </c>
      <c r="E26" s="415"/>
      <c r="F26" s="416">
        <v>123962</v>
      </c>
      <c r="G26" s="402"/>
      <c r="H26" s="387"/>
      <c r="I26" s="427">
        <f>ROUND(D26*F26*3/1000,0)</f>
        <v>1357</v>
      </c>
      <c r="J26" s="387" t="s">
        <v>316</v>
      </c>
      <c r="K26" s="387"/>
      <c r="L26" s="387"/>
    </row>
    <row r="27" spans="1:12">
      <c r="A27" s="399">
        <f>A26+1</f>
        <v>8</v>
      </c>
      <c r="B27" s="413" t="s">
        <v>11</v>
      </c>
      <c r="C27" s="387" t="s">
        <v>317</v>
      </c>
      <c r="D27" s="428">
        <v>3.65</v>
      </c>
      <c r="E27" s="415"/>
      <c r="F27" s="416">
        <v>160000</v>
      </c>
      <c r="G27" s="402"/>
      <c r="H27" s="387"/>
      <c r="I27" s="427">
        <f>ROUND(D27*F27*7/1000,0)</f>
        <v>4088</v>
      </c>
      <c r="J27" s="387" t="s">
        <v>316</v>
      </c>
      <c r="K27" s="387"/>
      <c r="L27" s="387"/>
    </row>
    <row r="28" spans="1:12">
      <c r="A28" s="399">
        <f>A27+1</f>
        <v>9</v>
      </c>
      <c r="B28" s="413" t="s">
        <v>11</v>
      </c>
      <c r="C28" s="387" t="s">
        <v>318</v>
      </c>
      <c r="D28" s="428">
        <v>11.442</v>
      </c>
      <c r="E28" s="415"/>
      <c r="F28" s="416">
        <f>123962+2843</f>
        <v>126805</v>
      </c>
      <c r="G28" s="402"/>
      <c r="H28" s="387"/>
      <c r="I28" s="427">
        <f>ROUND(D28*F28*2/1000,0)</f>
        <v>2902</v>
      </c>
      <c r="J28" s="387" t="s">
        <v>316</v>
      </c>
      <c r="K28" s="429">
        <f>I28-2837</f>
        <v>65</v>
      </c>
      <c r="L28" s="387"/>
    </row>
    <row r="29" spans="1:12">
      <c r="A29" s="399">
        <f>A28+1</f>
        <v>10</v>
      </c>
      <c r="B29" s="413"/>
      <c r="C29" s="407" t="s">
        <v>319</v>
      </c>
      <c r="D29" s="415"/>
      <c r="E29" s="415"/>
      <c r="F29" s="387"/>
      <c r="G29" s="387"/>
      <c r="H29" s="387"/>
      <c r="I29" s="430">
        <f>SUM(I25:I28)</f>
        <v>51423</v>
      </c>
      <c r="J29" s="387"/>
      <c r="K29" s="387"/>
      <c r="L29" s="387"/>
    </row>
    <row r="30" spans="1:12">
      <c r="A30" s="399"/>
      <c r="B30" s="413"/>
      <c r="C30" s="387"/>
      <c r="D30" s="415"/>
      <c r="E30" s="415"/>
      <c r="F30" s="402"/>
      <c r="G30" s="402"/>
      <c r="H30" s="387"/>
      <c r="I30" s="427"/>
      <c r="J30" s="387"/>
      <c r="K30" s="387"/>
      <c r="L30" s="387"/>
    </row>
    <row r="31" spans="1:12">
      <c r="A31" s="399">
        <f>A29+1</f>
        <v>11</v>
      </c>
      <c r="B31" s="413" t="s">
        <v>11</v>
      </c>
      <c r="C31" s="407" t="s">
        <v>320</v>
      </c>
      <c r="D31" s="419">
        <v>1.307E-2</v>
      </c>
      <c r="E31" s="419"/>
      <c r="F31" s="421">
        <v>80000000</v>
      </c>
      <c r="G31" s="402"/>
      <c r="H31" s="420"/>
      <c r="I31" s="427">
        <f>ROUND(D31*F31/1000,0)</f>
        <v>1046</v>
      </c>
      <c r="J31" s="387" t="s">
        <v>321</v>
      </c>
      <c r="K31" s="387"/>
      <c r="L31" s="387"/>
    </row>
    <row r="32" spans="1:12">
      <c r="A32" s="399">
        <f>A31+1</f>
        <v>12</v>
      </c>
      <c r="B32" s="413"/>
      <c r="C32" s="407" t="s">
        <v>310</v>
      </c>
      <c r="D32" s="419">
        <v>1.1999999999999999E-3</v>
      </c>
      <c r="E32" s="419"/>
      <c r="F32" s="416">
        <f>F31</f>
        <v>80000000</v>
      </c>
      <c r="G32" s="417"/>
      <c r="H32" s="420"/>
      <c r="I32" s="418">
        <f>ROUND(D32*F32/1000,0)</f>
        <v>96</v>
      </c>
      <c r="J32" s="387" t="s">
        <v>321</v>
      </c>
      <c r="K32" s="387"/>
      <c r="L32" s="387"/>
    </row>
    <row r="33" spans="1:12" ht="15" customHeight="1">
      <c r="A33" s="399">
        <f>A32+1</f>
        <v>13</v>
      </c>
      <c r="B33" s="422"/>
      <c r="C33" s="423" t="s">
        <v>322</v>
      </c>
      <c r="D33" s="431"/>
      <c r="E33" s="431"/>
      <c r="F33" s="425"/>
      <c r="G33" s="425"/>
      <c r="H33" s="425"/>
      <c r="I33" s="426">
        <f>SUM(I29:I32)</f>
        <v>52565</v>
      </c>
      <c r="J33" s="387"/>
      <c r="K33" s="387"/>
      <c r="L33" s="387"/>
    </row>
    <row r="34" spans="1:12" ht="15" customHeight="1">
      <c r="A34" s="399"/>
      <c r="B34" s="422"/>
      <c r="C34" s="423"/>
      <c r="D34" s="431"/>
      <c r="E34" s="431"/>
      <c r="F34" s="425"/>
      <c r="G34" s="425"/>
      <c r="H34" s="425"/>
      <c r="I34" s="432"/>
      <c r="J34" s="387"/>
      <c r="K34" s="387"/>
      <c r="L34" s="387"/>
    </row>
    <row r="35" spans="1:12">
      <c r="A35" s="399"/>
      <c r="B35" s="407" t="s">
        <v>323</v>
      </c>
      <c r="C35" s="407"/>
      <c r="D35" s="419"/>
      <c r="E35" s="419"/>
      <c r="F35" s="402"/>
      <c r="G35" s="402"/>
      <c r="H35" s="387"/>
      <c r="I35" s="427"/>
      <c r="J35" s="387"/>
      <c r="K35" s="387"/>
      <c r="L35" s="387"/>
    </row>
    <row r="36" spans="1:12" ht="13.2">
      <c r="A36" s="399">
        <f>A33+1</f>
        <v>14</v>
      </c>
      <c r="B36" s="413" t="s">
        <v>11</v>
      </c>
      <c r="C36" s="387" t="s">
        <v>324</v>
      </c>
      <c r="D36" s="428">
        <v>5.3230000000000004</v>
      </c>
      <c r="E36" s="415"/>
      <c r="F36" s="416">
        <v>36038</v>
      </c>
      <c r="G36" s="402"/>
      <c r="H36" s="387"/>
      <c r="I36" s="427">
        <f>ROUND(D36*F36*3/1000,0)</f>
        <v>575</v>
      </c>
      <c r="J36" s="387" t="s">
        <v>316</v>
      </c>
      <c r="K36" s="387"/>
      <c r="L36" s="387"/>
    </row>
    <row r="37" spans="1:12" ht="13.2">
      <c r="A37" s="399">
        <f>A36+1</f>
        <v>15</v>
      </c>
      <c r="B37" s="413" t="s">
        <v>11</v>
      </c>
      <c r="C37" s="387" t="s">
        <v>325</v>
      </c>
      <c r="D37" s="428">
        <v>5.3230000000000004</v>
      </c>
      <c r="E37" s="415"/>
      <c r="F37" s="416">
        <v>0</v>
      </c>
      <c r="G37" s="402"/>
      <c r="H37" s="387"/>
      <c r="I37" s="427">
        <f>ROUND(D37*F37*7/1000,0)</f>
        <v>0</v>
      </c>
      <c r="J37" s="387" t="s">
        <v>316</v>
      </c>
      <c r="K37" s="387"/>
      <c r="L37" s="387"/>
    </row>
    <row r="38" spans="1:12" ht="13.2">
      <c r="A38" s="399">
        <f>A37+1</f>
        <v>16</v>
      </c>
      <c r="B38" s="413" t="s">
        <v>11</v>
      </c>
      <c r="C38" s="387" t="s">
        <v>326</v>
      </c>
      <c r="D38" s="428">
        <v>8.3379999999999992</v>
      </c>
      <c r="E38" s="415"/>
      <c r="F38" s="416">
        <f>36038-2843</f>
        <v>33195</v>
      </c>
      <c r="G38" s="402"/>
      <c r="H38" s="387"/>
      <c r="I38" s="427">
        <f>ROUND(D38*F38*2/1000,0)</f>
        <v>554</v>
      </c>
      <c r="J38" s="387" t="s">
        <v>316</v>
      </c>
      <c r="K38" s="429">
        <f>+I38-601</f>
        <v>-47</v>
      </c>
      <c r="L38" s="387"/>
    </row>
    <row r="39" spans="1:12">
      <c r="A39" s="399">
        <f>A38+1</f>
        <v>17</v>
      </c>
      <c r="B39" s="413"/>
      <c r="C39" s="407" t="s">
        <v>319</v>
      </c>
      <c r="D39" s="415"/>
      <c r="E39" s="415"/>
      <c r="F39" s="387"/>
      <c r="G39" s="387"/>
      <c r="H39" s="387"/>
      <c r="I39" s="430">
        <f>SUM(I36:I38)</f>
        <v>1129</v>
      </c>
      <c r="J39" s="387"/>
      <c r="K39" s="387"/>
      <c r="L39" s="387"/>
    </row>
    <row r="40" spans="1:12">
      <c r="A40" s="399"/>
      <c r="B40" s="413"/>
      <c r="C40" s="387"/>
      <c r="D40" s="415"/>
      <c r="E40" s="415"/>
      <c r="F40" s="402"/>
      <c r="G40" s="402"/>
      <c r="H40" s="387"/>
      <c r="I40" s="427"/>
      <c r="J40" s="387"/>
      <c r="K40" s="387"/>
      <c r="L40" s="387"/>
    </row>
    <row r="41" spans="1:12" ht="12" customHeight="1">
      <c r="A41" s="399">
        <f>A39+1</f>
        <v>18</v>
      </c>
      <c r="B41" s="413" t="s">
        <v>11</v>
      </c>
      <c r="C41" s="407" t="s">
        <v>320</v>
      </c>
      <c r="D41" s="419">
        <v>9.1199999999999996E-3</v>
      </c>
      <c r="E41" s="419"/>
      <c r="F41" s="416">
        <v>3750000</v>
      </c>
      <c r="G41" s="402"/>
      <c r="H41" s="420"/>
      <c r="I41" s="427">
        <f>ROUND(D41*F41/1000,0)</f>
        <v>34</v>
      </c>
      <c r="J41" s="387" t="s">
        <v>321</v>
      </c>
      <c r="K41" s="387"/>
      <c r="L41" s="387"/>
    </row>
    <row r="42" spans="1:12" ht="12" customHeight="1">
      <c r="A42" s="399">
        <f>A41+1</f>
        <v>19</v>
      </c>
      <c r="B42" s="413"/>
      <c r="C42" s="407" t="s">
        <v>310</v>
      </c>
      <c r="D42" s="419">
        <v>1.1999999999999999E-3</v>
      </c>
      <c r="E42" s="419"/>
      <c r="F42" s="416">
        <f>F41</f>
        <v>3750000</v>
      </c>
      <c r="G42" s="417"/>
      <c r="H42" s="420"/>
      <c r="I42" s="418">
        <f>ROUND(D42*F42/1000,0)</f>
        <v>5</v>
      </c>
      <c r="J42" s="387" t="s">
        <v>321</v>
      </c>
      <c r="K42" s="387"/>
      <c r="L42" s="387"/>
    </row>
    <row r="43" spans="1:12" ht="12" customHeight="1">
      <c r="A43" s="399">
        <f>A42+1</f>
        <v>20</v>
      </c>
      <c r="B43" s="422"/>
      <c r="C43" s="423" t="s">
        <v>327</v>
      </c>
      <c r="D43" s="431"/>
      <c r="E43" s="431"/>
      <c r="F43" s="425"/>
      <c r="G43" s="425"/>
      <c r="H43" s="425"/>
      <c r="I43" s="426">
        <f>SUM(I39:I42)</f>
        <v>1168</v>
      </c>
      <c r="J43" s="387"/>
      <c r="K43" s="387"/>
      <c r="L43" s="387"/>
    </row>
    <row r="44" spans="1:12" ht="12" customHeight="1">
      <c r="A44" s="399"/>
      <c r="B44" s="422"/>
      <c r="C44" s="423"/>
      <c r="D44" s="431"/>
      <c r="E44" s="431"/>
      <c r="F44" s="425"/>
      <c r="G44" s="425"/>
      <c r="H44" s="425"/>
      <c r="I44" s="432"/>
      <c r="J44" s="387"/>
      <c r="K44" s="387"/>
      <c r="L44" s="387"/>
    </row>
    <row r="45" spans="1:12">
      <c r="A45" s="399"/>
      <c r="B45" s="407" t="s">
        <v>328</v>
      </c>
      <c r="C45" s="407"/>
      <c r="D45" s="419"/>
      <c r="E45" s="419"/>
      <c r="F45" s="402"/>
      <c r="G45" s="402"/>
      <c r="H45" s="387"/>
      <c r="I45" s="427"/>
      <c r="J45" s="387"/>
      <c r="K45" s="387"/>
      <c r="L45" s="387"/>
    </row>
    <row r="46" spans="1:12">
      <c r="A46" s="399">
        <f>A43+1</f>
        <v>21</v>
      </c>
      <c r="B46" s="413" t="s">
        <v>11</v>
      </c>
      <c r="C46" s="387" t="s">
        <v>329</v>
      </c>
      <c r="D46" s="428">
        <v>6.4109999999999996</v>
      </c>
      <c r="E46" s="415"/>
      <c r="F46" s="416">
        <v>5818</v>
      </c>
      <c r="G46" s="402"/>
      <c r="H46" s="387"/>
      <c r="I46" s="427">
        <f>ROUND(D46*F46*12/1000,0)</f>
        <v>448</v>
      </c>
      <c r="J46" s="387" t="s">
        <v>330</v>
      </c>
      <c r="K46" s="387"/>
      <c r="L46" s="387"/>
    </row>
    <row r="47" spans="1:12">
      <c r="A47" s="399">
        <f>A46+1</f>
        <v>22</v>
      </c>
      <c r="B47" s="413" t="s">
        <v>11</v>
      </c>
      <c r="C47" s="387" t="s">
        <v>331</v>
      </c>
      <c r="D47" s="428">
        <v>6.4109999999999996</v>
      </c>
      <c r="E47" s="415"/>
      <c r="F47" s="416">
        <f>3635</f>
        <v>3635</v>
      </c>
      <c r="G47" s="402"/>
      <c r="H47" s="387"/>
      <c r="I47" s="427">
        <f>ROUND(D47*F47*12/1000,0)</f>
        <v>280</v>
      </c>
      <c r="J47" s="387" t="s">
        <v>332</v>
      </c>
      <c r="K47" s="429">
        <f>+I47-280</f>
        <v>0</v>
      </c>
      <c r="L47" s="387"/>
    </row>
    <row r="48" spans="1:12">
      <c r="A48" s="399">
        <v>23</v>
      </c>
      <c r="B48" s="413" t="s">
        <v>11</v>
      </c>
      <c r="C48" s="387" t="s">
        <v>405</v>
      </c>
      <c r="D48" s="428">
        <v>6.4109999999999996</v>
      </c>
      <c r="E48" s="415"/>
      <c r="F48" s="416">
        <v>2843</v>
      </c>
      <c r="G48" s="402"/>
      <c r="H48" s="387"/>
      <c r="I48" s="427">
        <f>ROUND(D48*F48*2/1000,0)</f>
        <v>36</v>
      </c>
      <c r="J48" s="387" t="s">
        <v>406</v>
      </c>
      <c r="K48" s="429">
        <f>+I48</f>
        <v>36</v>
      </c>
      <c r="L48" s="387"/>
    </row>
    <row r="49" spans="1:12">
      <c r="A49" s="399">
        <f>+A48+1</f>
        <v>24</v>
      </c>
      <c r="B49" s="413"/>
      <c r="C49" s="407" t="s">
        <v>319</v>
      </c>
      <c r="D49" s="415"/>
      <c r="E49" s="415"/>
      <c r="F49" s="387"/>
      <c r="G49" s="387"/>
      <c r="H49" s="387"/>
      <c r="I49" s="430">
        <f>SUM(I46:I48)</f>
        <v>764</v>
      </c>
      <c r="J49" s="387"/>
      <c r="K49" s="387"/>
      <c r="L49" s="387"/>
    </row>
    <row r="50" spans="1:12" ht="12" customHeight="1">
      <c r="A50" s="399"/>
      <c r="B50" s="413"/>
      <c r="C50" s="387"/>
      <c r="D50" s="415"/>
      <c r="E50" s="415"/>
      <c r="F50" s="402"/>
      <c r="G50" s="402"/>
      <c r="H50" s="387"/>
      <c r="I50" s="427"/>
      <c r="J50" s="387"/>
      <c r="K50" s="387"/>
      <c r="L50" s="387"/>
    </row>
    <row r="51" spans="1:12" ht="12" customHeight="1">
      <c r="A51" s="399">
        <f>A49+1</f>
        <v>25</v>
      </c>
      <c r="B51" s="413" t="s">
        <v>11</v>
      </c>
      <c r="C51" s="407" t="s">
        <v>320</v>
      </c>
      <c r="D51" s="419">
        <v>7.45E-3</v>
      </c>
      <c r="E51" s="419"/>
      <c r="F51" s="416">
        <v>3000000</v>
      </c>
      <c r="G51" s="402"/>
      <c r="H51" s="420"/>
      <c r="I51" s="427">
        <f>ROUND(D51*F51/1000,0)</f>
        <v>22</v>
      </c>
      <c r="J51" s="387"/>
      <c r="K51" s="387"/>
      <c r="L51" s="387"/>
    </row>
    <row r="52" spans="1:12" ht="12" customHeight="1">
      <c r="A52" s="399">
        <f>A51+1</f>
        <v>26</v>
      </c>
      <c r="B52" s="413"/>
      <c r="C52" s="407" t="s">
        <v>310</v>
      </c>
      <c r="D52" s="419">
        <v>1.1999999999999999E-3</v>
      </c>
      <c r="E52" s="419"/>
      <c r="F52" s="416">
        <f>F51</f>
        <v>3000000</v>
      </c>
      <c r="G52" s="417"/>
      <c r="H52" s="420"/>
      <c r="I52" s="418">
        <f>ROUND(D52*F52/1000,0)</f>
        <v>4</v>
      </c>
      <c r="J52" s="387"/>
      <c r="K52" s="387"/>
      <c r="L52" s="387"/>
    </row>
    <row r="53" spans="1:12" ht="12" customHeight="1">
      <c r="A53" s="399">
        <f>A52+1</f>
        <v>27</v>
      </c>
      <c r="B53" s="422"/>
      <c r="C53" s="423" t="s">
        <v>333</v>
      </c>
      <c r="D53" s="431"/>
      <c r="E53" s="431"/>
      <c r="F53" s="425"/>
      <c r="G53" s="425"/>
      <c r="H53" s="425"/>
      <c r="I53" s="426">
        <f>SUM(I49:I52)</f>
        <v>790</v>
      </c>
      <c r="J53" s="387"/>
      <c r="K53" s="429">
        <f>SUM(K28:K51)</f>
        <v>54</v>
      </c>
      <c r="L53" s="387"/>
    </row>
    <row r="54" spans="1:12" ht="12" customHeight="1">
      <c r="A54" s="399"/>
      <c r="B54" s="422"/>
      <c r="C54" s="423"/>
      <c r="D54" s="431"/>
      <c r="E54" s="431"/>
      <c r="F54" s="425"/>
      <c r="G54" s="425"/>
      <c r="H54" s="425"/>
      <c r="I54" s="432"/>
      <c r="J54" s="387"/>
      <c r="K54" s="387"/>
      <c r="L54" s="387"/>
    </row>
    <row r="55" spans="1:12">
      <c r="A55" s="399"/>
      <c r="B55" s="413"/>
      <c r="C55" s="387"/>
      <c r="D55" s="415"/>
      <c r="E55" s="415"/>
      <c r="F55" s="402"/>
      <c r="G55" s="402"/>
      <c r="H55" s="387"/>
      <c r="I55" s="418"/>
      <c r="J55" s="387"/>
      <c r="K55" s="387"/>
      <c r="L55" s="387"/>
    </row>
    <row r="56" spans="1:12" ht="12">
      <c r="A56" s="399">
        <f>A53+1</f>
        <v>28</v>
      </c>
      <c r="B56" s="423" t="s">
        <v>334</v>
      </c>
      <c r="C56" s="425"/>
      <c r="D56" s="431"/>
      <c r="E56" s="431"/>
      <c r="F56" s="425"/>
      <c r="G56" s="425"/>
      <c r="H56" s="425"/>
      <c r="I56" s="432">
        <f>I22+I33+I43+I53</f>
        <v>54523</v>
      </c>
      <c r="J56" s="387"/>
      <c r="K56" s="387"/>
      <c r="L56" s="387"/>
    </row>
    <row r="57" spans="1:12">
      <c r="A57" s="399"/>
      <c r="B57" s="407"/>
      <c r="C57" s="387"/>
      <c r="D57" s="433"/>
      <c r="E57" s="433"/>
      <c r="F57" s="387"/>
      <c r="G57" s="387"/>
      <c r="H57" s="387"/>
      <c r="I57" s="418"/>
      <c r="J57" s="387"/>
      <c r="K57" s="387"/>
      <c r="L57" s="387"/>
    </row>
    <row r="58" spans="1:12" ht="12" customHeight="1">
      <c r="A58" s="434">
        <f>A56+1</f>
        <v>29</v>
      </c>
      <c r="B58" s="414" t="s">
        <v>335</v>
      </c>
      <c r="C58" s="435"/>
      <c r="D58" s="436">
        <f>1.25-1</f>
        <v>0.25</v>
      </c>
      <c r="E58" s="435"/>
      <c r="F58" s="417"/>
      <c r="G58" s="417"/>
      <c r="H58" s="435"/>
      <c r="I58" s="437">
        <f>I56*D58</f>
        <v>13630.75</v>
      </c>
      <c r="J58" s="387"/>
      <c r="K58" s="387"/>
      <c r="L58" s="387"/>
    </row>
    <row r="59" spans="1:12">
      <c r="A59" s="434"/>
      <c r="B59" s="414"/>
      <c r="C59" s="435"/>
      <c r="D59" s="435"/>
      <c r="E59" s="435"/>
      <c r="F59" s="417"/>
      <c r="G59" s="417"/>
      <c r="H59" s="435"/>
      <c r="I59" s="418"/>
      <c r="J59" s="387" t="s">
        <v>96</v>
      </c>
      <c r="K59" s="387"/>
      <c r="L59" s="387"/>
    </row>
    <row r="60" spans="1:12" ht="12">
      <c r="A60" s="399">
        <f>A58+1</f>
        <v>30</v>
      </c>
      <c r="B60" s="423" t="s">
        <v>336</v>
      </c>
      <c r="C60" s="387"/>
      <c r="D60" s="433"/>
      <c r="E60" s="433"/>
      <c r="F60" s="387"/>
      <c r="G60" s="387"/>
      <c r="H60" s="387"/>
      <c r="I60" s="432">
        <f>I56+I58</f>
        <v>68153.75</v>
      </c>
      <c r="J60" s="387"/>
      <c r="K60" s="387"/>
      <c r="L60" s="387"/>
    </row>
    <row r="61" spans="1:12">
      <c r="A61" s="399"/>
      <c r="B61" s="407"/>
      <c r="C61" s="387"/>
      <c r="D61" s="433"/>
      <c r="E61" s="433"/>
      <c r="F61" s="387"/>
      <c r="G61" s="387"/>
      <c r="H61" s="387"/>
      <c r="I61" s="418"/>
      <c r="J61" s="387"/>
      <c r="K61" s="387"/>
      <c r="L61" s="387"/>
    </row>
    <row r="62" spans="1:12">
      <c r="A62" s="399">
        <f>A60+1</f>
        <v>31</v>
      </c>
      <c r="B62" s="407" t="s">
        <v>337</v>
      </c>
      <c r="C62" s="387"/>
      <c r="D62" s="433"/>
      <c r="E62" s="433"/>
      <c r="F62" s="387"/>
      <c r="G62" s="387"/>
      <c r="H62" s="387"/>
      <c r="I62" s="437">
        <v>0</v>
      </c>
      <c r="J62" s="387" t="s">
        <v>338</v>
      </c>
      <c r="K62" s="387"/>
      <c r="L62" s="387"/>
    </row>
    <row r="63" spans="1:12">
      <c r="A63" s="399"/>
      <c r="B63" s="407" t="s">
        <v>96</v>
      </c>
      <c r="C63" s="387"/>
      <c r="D63" s="433"/>
      <c r="E63" s="433"/>
      <c r="F63" s="387"/>
      <c r="G63" s="387"/>
      <c r="H63" s="387"/>
      <c r="I63" s="418"/>
      <c r="J63" s="387"/>
      <c r="K63" s="387"/>
      <c r="L63" s="387"/>
    </row>
    <row r="64" spans="1:12" ht="12">
      <c r="A64" s="399">
        <f>A62+1</f>
        <v>32</v>
      </c>
      <c r="B64" s="423" t="s">
        <v>339</v>
      </c>
      <c r="C64" s="425"/>
      <c r="D64" s="431"/>
      <c r="E64" s="431"/>
      <c r="F64" s="425"/>
      <c r="G64" s="425"/>
      <c r="H64" s="425"/>
      <c r="I64" s="438">
        <f>I60+I62</f>
        <v>68153.75</v>
      </c>
      <c r="J64" s="387"/>
      <c r="K64" s="429">
        <f>+I64-68086</f>
        <v>67.75</v>
      </c>
      <c r="L64" s="387"/>
    </row>
    <row r="65" spans="1:12">
      <c r="A65" s="399"/>
      <c r="B65" s="407"/>
      <c r="C65" s="387"/>
      <c r="D65" s="433"/>
      <c r="E65" s="433"/>
      <c r="F65" s="387"/>
      <c r="G65" s="387"/>
      <c r="H65" s="387"/>
      <c r="I65" s="418"/>
      <c r="J65" s="387"/>
      <c r="K65" s="387"/>
      <c r="L65" s="387"/>
    </row>
    <row r="66" spans="1:12">
      <c r="A66" s="399"/>
      <c r="B66" s="407"/>
      <c r="C66" s="387"/>
      <c r="D66" s="433"/>
      <c r="E66" s="433"/>
      <c r="F66" s="387"/>
      <c r="G66" s="387"/>
      <c r="H66" s="387"/>
      <c r="I66" s="387"/>
      <c r="J66" s="387"/>
      <c r="K66" s="387"/>
      <c r="L66" s="387"/>
    </row>
    <row r="67" spans="1:12">
      <c r="A67" s="399" t="s">
        <v>96</v>
      </c>
      <c r="B67" s="404" t="s">
        <v>340</v>
      </c>
      <c r="C67" s="409"/>
      <c r="D67" s="439" t="s">
        <v>341</v>
      </c>
      <c r="E67" s="439"/>
      <c r="F67" s="405" t="s">
        <v>266</v>
      </c>
      <c r="G67" s="440"/>
      <c r="H67" s="409"/>
      <c r="I67" s="441" t="s">
        <v>304</v>
      </c>
      <c r="J67" s="387"/>
      <c r="K67" s="387"/>
      <c r="L67" s="387"/>
    </row>
    <row r="68" spans="1:12">
      <c r="A68" s="399" t="s">
        <v>96</v>
      </c>
      <c r="B68" s="407"/>
      <c r="C68" s="387"/>
      <c r="D68" s="433"/>
      <c r="E68" s="433"/>
      <c r="F68" s="408"/>
      <c r="G68" s="408"/>
      <c r="H68" s="387"/>
      <c r="I68" s="427"/>
      <c r="J68" s="387"/>
      <c r="K68" s="387"/>
      <c r="L68" s="387"/>
    </row>
    <row r="69" spans="1:12">
      <c r="A69" s="399">
        <f>A64+1</f>
        <v>33</v>
      </c>
      <c r="B69" s="407" t="s">
        <v>342</v>
      </c>
      <c r="C69" s="387" t="s">
        <v>343</v>
      </c>
      <c r="D69" s="428">
        <v>2.6040000000000001</v>
      </c>
      <c r="E69" s="428"/>
      <c r="F69" s="421">
        <f>623961-311711-128316-64147</f>
        <v>119787</v>
      </c>
      <c r="G69" s="402"/>
      <c r="H69" s="387"/>
      <c r="I69" s="427">
        <f>ROUND(D69*$F69*12/1000,0)</f>
        <v>3743</v>
      </c>
      <c r="J69" s="387" t="s">
        <v>344</v>
      </c>
      <c r="K69" s="387" t="s">
        <v>345</v>
      </c>
      <c r="L69" s="421">
        <v>119787</v>
      </c>
    </row>
    <row r="70" spans="1:12">
      <c r="A70" s="399">
        <f>A69+1</f>
        <v>34</v>
      </c>
      <c r="B70" s="407"/>
      <c r="C70" s="387" t="s">
        <v>346</v>
      </c>
      <c r="D70" s="428">
        <v>2.1930000000000001</v>
      </c>
      <c r="E70" s="428"/>
      <c r="F70" s="357">
        <v>196679</v>
      </c>
      <c r="G70" s="402"/>
      <c r="H70" s="420"/>
      <c r="I70" s="427">
        <f>ROUND(D70*$F70*10/1000,0)</f>
        <v>4313</v>
      </c>
      <c r="J70" s="387"/>
      <c r="K70" s="387" t="s">
        <v>347</v>
      </c>
      <c r="L70" s="413" t="s">
        <v>348</v>
      </c>
    </row>
    <row r="71" spans="1:12" ht="15" customHeight="1">
      <c r="A71" s="399">
        <f>A70+1</f>
        <v>35</v>
      </c>
      <c r="B71" s="407"/>
      <c r="C71" s="387" t="s">
        <v>349</v>
      </c>
      <c r="D71" s="428">
        <v>2.1930000000000001</v>
      </c>
      <c r="E71" s="428"/>
      <c r="F71" s="357">
        <v>71838</v>
      </c>
      <c r="G71" s="402"/>
      <c r="H71" s="420"/>
      <c r="I71" s="427">
        <f>ROUND(D71*$F71*2/1000,0)</f>
        <v>315</v>
      </c>
      <c r="J71" s="387" t="s">
        <v>344</v>
      </c>
      <c r="K71" s="387" t="s">
        <v>347</v>
      </c>
      <c r="L71" s="413" t="s">
        <v>350</v>
      </c>
    </row>
    <row r="72" spans="1:12">
      <c r="A72" s="399">
        <f>A70+1</f>
        <v>35</v>
      </c>
      <c r="B72" s="407"/>
      <c r="C72" s="407" t="s">
        <v>319</v>
      </c>
      <c r="D72" s="415"/>
      <c r="E72" s="415"/>
      <c r="F72" s="357"/>
      <c r="G72" s="387"/>
      <c r="H72" s="387"/>
      <c r="I72" s="430">
        <f>SUM(I69:I71)</f>
        <v>8371</v>
      </c>
      <c r="J72" s="387"/>
      <c r="K72" s="387"/>
      <c r="L72" s="387"/>
    </row>
    <row r="73" spans="1:12">
      <c r="A73" s="399"/>
      <c r="B73" s="407"/>
      <c r="C73" s="407"/>
      <c r="D73" s="415"/>
      <c r="E73" s="415"/>
      <c r="F73" s="387"/>
      <c r="G73" s="387"/>
      <c r="H73" s="387"/>
      <c r="I73" s="418"/>
      <c r="J73" s="387"/>
      <c r="K73" s="387" t="s">
        <v>351</v>
      </c>
      <c r="L73" s="413" t="s">
        <v>352</v>
      </c>
    </row>
    <row r="74" spans="1:12">
      <c r="A74" s="399">
        <f>A72+1</f>
        <v>36</v>
      </c>
      <c r="B74" s="407" t="s">
        <v>353</v>
      </c>
      <c r="C74" s="387" t="s">
        <v>354</v>
      </c>
      <c r="D74" s="415">
        <v>3.2440000000000002</v>
      </c>
      <c r="E74" s="415"/>
      <c r="F74" s="421">
        <f>128316+62695</f>
        <v>191011</v>
      </c>
      <c r="G74" s="402"/>
      <c r="H74" s="420"/>
      <c r="I74" s="427">
        <f>ROUND(D74*$F74*12/1000,0)</f>
        <v>7436</v>
      </c>
      <c r="J74" s="387" t="s">
        <v>355</v>
      </c>
      <c r="K74" s="387" t="s">
        <v>356</v>
      </c>
      <c r="L74" s="421">
        <v>62695</v>
      </c>
    </row>
    <row r="75" spans="1:12" ht="12" hidden="1" customHeight="1" outlineLevel="1">
      <c r="A75" s="399"/>
      <c r="B75" s="407"/>
      <c r="C75" s="387"/>
      <c r="D75" s="428"/>
      <c r="E75" s="428"/>
      <c r="F75" s="402"/>
      <c r="G75" s="402"/>
      <c r="H75" s="387"/>
      <c r="I75" s="358"/>
      <c r="J75" s="387"/>
      <c r="K75" s="387"/>
      <c r="L75" s="387"/>
    </row>
    <row r="76" spans="1:12" ht="12" hidden="1" customHeight="1" outlineLevel="1">
      <c r="A76" s="399">
        <f>A74+1</f>
        <v>37</v>
      </c>
      <c r="B76" s="407" t="s">
        <v>357</v>
      </c>
      <c r="C76" s="387" t="s">
        <v>358</v>
      </c>
      <c r="D76" s="428">
        <v>0.54500000000000004</v>
      </c>
      <c r="E76" s="428"/>
      <c r="F76" s="421">
        <v>0</v>
      </c>
      <c r="G76" s="359"/>
      <c r="H76" s="387"/>
      <c r="I76" s="418">
        <f>ROUND(D76*$F76*8/1000,0)</f>
        <v>0</v>
      </c>
      <c r="J76" s="387"/>
      <c r="K76" s="387"/>
      <c r="L76" s="387"/>
    </row>
    <row r="77" spans="1:12" collapsed="1">
      <c r="A77" s="399"/>
      <c r="B77" s="407"/>
      <c r="C77" s="387"/>
      <c r="D77" s="428"/>
      <c r="E77" s="428"/>
      <c r="F77" s="359"/>
      <c r="G77" s="359"/>
      <c r="H77" s="387"/>
      <c r="I77" s="418"/>
      <c r="J77" s="387"/>
      <c r="K77" s="387"/>
      <c r="L77" s="387"/>
    </row>
    <row r="78" spans="1:12">
      <c r="A78" s="399">
        <f>+A74+1</f>
        <v>37</v>
      </c>
      <c r="B78" s="407" t="s">
        <v>359</v>
      </c>
      <c r="C78" s="387" t="s">
        <v>360</v>
      </c>
      <c r="D78" s="428">
        <v>0.13600000000000001</v>
      </c>
      <c r="E78" s="428"/>
      <c r="F78" s="421">
        <v>500000</v>
      </c>
      <c r="G78" s="359"/>
      <c r="H78" s="387"/>
      <c r="I78" s="418">
        <f>ROUND(D78*$F78*12/1000,0)</f>
        <v>816</v>
      </c>
      <c r="J78" s="387" t="s">
        <v>361</v>
      </c>
      <c r="K78" s="387" t="s">
        <v>362</v>
      </c>
      <c r="L78" s="421">
        <v>500000</v>
      </c>
    </row>
    <row r="79" spans="1:12">
      <c r="A79" s="399"/>
      <c r="B79" s="407"/>
      <c r="C79" s="387"/>
      <c r="D79" s="428"/>
      <c r="E79" s="428"/>
      <c r="F79" s="421"/>
      <c r="G79" s="359"/>
      <c r="H79" s="387"/>
      <c r="I79" s="418"/>
      <c r="J79" s="387"/>
      <c r="K79" s="387"/>
      <c r="L79" s="387"/>
    </row>
    <row r="80" spans="1:12">
      <c r="A80" s="399">
        <f>A78+1</f>
        <v>38</v>
      </c>
      <c r="B80" s="407" t="s">
        <v>363</v>
      </c>
      <c r="C80" s="387" t="s">
        <v>364</v>
      </c>
      <c r="D80" s="428">
        <v>0.41099999999999998</v>
      </c>
      <c r="E80" s="428"/>
      <c r="F80" s="421">
        <f>88497+174752</f>
        <v>263249</v>
      </c>
      <c r="G80" s="359"/>
      <c r="H80" s="387"/>
      <c r="I80" s="418">
        <f>ROUND(D80*$F80*12/1000,0)</f>
        <v>1298</v>
      </c>
      <c r="J80" s="387" t="s">
        <v>365</v>
      </c>
      <c r="K80" s="387" t="s">
        <v>366</v>
      </c>
      <c r="L80" s="421">
        <v>88497</v>
      </c>
    </row>
    <row r="81" spans="1:12">
      <c r="A81" s="399"/>
      <c r="B81" s="407"/>
      <c r="C81" s="387"/>
      <c r="D81" s="428"/>
      <c r="E81" s="428"/>
      <c r="F81" s="402"/>
      <c r="G81" s="402"/>
      <c r="H81" s="387"/>
      <c r="I81" s="358"/>
      <c r="J81" s="387"/>
      <c r="K81" s="387" t="s">
        <v>367</v>
      </c>
      <c r="L81" s="421">
        <v>174752</v>
      </c>
    </row>
    <row r="82" spans="1:12" ht="12">
      <c r="A82" s="399">
        <f>A80+1</f>
        <v>39</v>
      </c>
      <c r="B82" s="423" t="s">
        <v>319</v>
      </c>
      <c r="C82" s="387"/>
      <c r="D82" s="428"/>
      <c r="E82" s="428"/>
      <c r="F82" s="402"/>
      <c r="G82" s="402"/>
      <c r="H82" s="387"/>
      <c r="I82" s="442">
        <f>SUM(I72:I81)</f>
        <v>17921</v>
      </c>
      <c r="J82" s="387"/>
      <c r="K82" s="387"/>
      <c r="L82" s="387"/>
    </row>
    <row r="83" spans="1:12">
      <c r="A83" s="399"/>
      <c r="B83" s="407"/>
      <c r="C83" s="387"/>
      <c r="D83" s="428"/>
      <c r="E83" s="428"/>
      <c r="F83" s="402"/>
      <c r="G83" s="402"/>
      <c r="H83" s="387"/>
      <c r="I83" s="418"/>
      <c r="J83" s="387"/>
      <c r="K83" s="387"/>
      <c r="L83" s="387"/>
    </row>
    <row r="84" spans="1:12" ht="12" hidden="1" customHeight="1">
      <c r="A84" s="399">
        <f>A82+1</f>
        <v>40</v>
      </c>
      <c r="B84" s="407" t="s">
        <v>368</v>
      </c>
      <c r="C84" s="387"/>
      <c r="D84" s="428"/>
      <c r="E84" s="428"/>
      <c r="F84" s="402"/>
      <c r="G84" s="402"/>
      <c r="H84" s="387"/>
      <c r="I84" s="437">
        <v>0</v>
      </c>
      <c r="J84" s="387"/>
      <c r="K84" s="387"/>
      <c r="L84" s="387"/>
    </row>
    <row r="85" spans="1:12" ht="12" hidden="1" customHeight="1">
      <c r="A85" s="399"/>
      <c r="B85" s="407"/>
      <c r="C85" s="387"/>
      <c r="D85" s="428"/>
      <c r="E85" s="428"/>
      <c r="F85" s="402"/>
      <c r="G85" s="402"/>
      <c r="H85" s="387"/>
      <c r="I85" s="418"/>
      <c r="J85" s="387"/>
      <c r="K85" s="387"/>
      <c r="L85" s="387"/>
    </row>
    <row r="86" spans="1:12">
      <c r="A86" s="399">
        <f>+A84+1</f>
        <v>41</v>
      </c>
      <c r="B86" s="407" t="s">
        <v>369</v>
      </c>
      <c r="C86" s="387"/>
      <c r="D86" s="428"/>
      <c r="E86" s="428"/>
      <c r="F86" s="402"/>
      <c r="G86" s="402"/>
      <c r="H86" s="387"/>
      <c r="I86" s="360">
        <v>0</v>
      </c>
      <c r="J86" s="387"/>
      <c r="K86" s="387"/>
      <c r="L86" s="387"/>
    </row>
    <row r="87" spans="1:12">
      <c r="A87" s="399"/>
      <c r="B87" s="407"/>
      <c r="C87" s="387"/>
      <c r="D87" s="428"/>
      <c r="E87" s="428"/>
      <c r="F87" s="402"/>
      <c r="G87" s="402"/>
      <c r="H87" s="387"/>
      <c r="I87" s="361"/>
      <c r="J87" s="387"/>
      <c r="K87" s="387"/>
      <c r="L87" s="387"/>
    </row>
    <row r="88" spans="1:12" ht="12">
      <c r="A88" s="399">
        <f>A84+1</f>
        <v>41</v>
      </c>
      <c r="B88" s="423" t="s">
        <v>370</v>
      </c>
      <c r="C88" s="425"/>
      <c r="D88" s="443"/>
      <c r="E88" s="443"/>
      <c r="F88" s="444"/>
      <c r="G88" s="444"/>
      <c r="H88" s="425"/>
      <c r="I88" s="438">
        <f>SUM(I82:I86)</f>
        <v>17921</v>
      </c>
      <c r="J88" s="387"/>
      <c r="K88" s="429"/>
      <c r="L88" s="387"/>
    </row>
    <row r="89" spans="1:12" ht="12">
      <c r="A89" s="399"/>
      <c r="B89" s="423"/>
      <c r="C89" s="425"/>
      <c r="D89" s="443"/>
      <c r="E89" s="443"/>
      <c r="F89" s="444"/>
      <c r="G89" s="444"/>
      <c r="H89" s="425"/>
      <c r="I89" s="432"/>
      <c r="J89" s="387"/>
      <c r="K89" s="387"/>
      <c r="L89" s="387"/>
    </row>
    <row r="90" spans="1:12">
      <c r="A90" s="399"/>
      <c r="B90" s="407"/>
      <c r="C90" s="387"/>
      <c r="D90" s="428"/>
      <c r="E90" s="428"/>
      <c r="F90" s="402"/>
      <c r="G90" s="402"/>
      <c r="H90" s="387"/>
      <c r="I90" s="387"/>
      <c r="J90" s="387"/>
      <c r="K90" s="387"/>
      <c r="L90" s="387"/>
    </row>
    <row r="91" spans="1:12">
      <c r="A91" s="399" t="s">
        <v>96</v>
      </c>
      <c r="B91" s="404" t="s">
        <v>371</v>
      </c>
      <c r="C91" s="409"/>
      <c r="D91" s="445"/>
      <c r="E91" s="445"/>
      <c r="F91" s="405"/>
      <c r="G91" s="446"/>
      <c r="H91" s="409"/>
      <c r="I91" s="411" t="s">
        <v>304</v>
      </c>
      <c r="J91" s="387"/>
      <c r="K91" s="387"/>
      <c r="L91" s="387"/>
    </row>
    <row r="92" spans="1:12">
      <c r="A92" s="399"/>
      <c r="B92" s="414"/>
      <c r="C92" s="435"/>
      <c r="D92" s="447"/>
      <c r="E92" s="447"/>
      <c r="F92" s="446"/>
      <c r="G92" s="446"/>
      <c r="H92" s="387"/>
      <c r="I92" s="427"/>
      <c r="J92" s="387"/>
      <c r="K92" s="387"/>
      <c r="L92" s="387"/>
    </row>
    <row r="93" spans="1:12" ht="12">
      <c r="A93" s="399">
        <f>A88+1</f>
        <v>42</v>
      </c>
      <c r="B93" s="423" t="s">
        <v>372</v>
      </c>
      <c r="C93" s="423"/>
      <c r="D93" s="362"/>
      <c r="E93" s="423"/>
      <c r="F93" s="444"/>
      <c r="G93" s="444"/>
      <c r="H93" s="425"/>
      <c r="I93" s="363">
        <v>87728</v>
      </c>
      <c r="J93" s="387" t="s">
        <v>373</v>
      </c>
      <c r="K93" s="387"/>
      <c r="L93" s="387"/>
    </row>
    <row r="94" spans="1:12">
      <c r="A94" s="399"/>
      <c r="B94" s="407"/>
      <c r="C94" s="387"/>
      <c r="D94" s="433"/>
      <c r="E94" s="433"/>
      <c r="F94" s="387"/>
      <c r="G94" s="387"/>
      <c r="H94" s="387"/>
      <c r="I94" s="418"/>
      <c r="J94" s="387"/>
      <c r="K94" s="387"/>
      <c r="L94" s="387"/>
    </row>
    <row r="95" spans="1:12" ht="12">
      <c r="A95" s="399"/>
      <c r="B95" s="423"/>
      <c r="C95" s="423"/>
      <c r="D95" s="362"/>
      <c r="E95" s="423"/>
      <c r="F95" s="444"/>
      <c r="G95" s="444"/>
      <c r="H95" s="425"/>
      <c r="I95" s="362"/>
      <c r="J95" s="387"/>
      <c r="K95" s="387"/>
      <c r="L95" s="387"/>
    </row>
    <row r="96" spans="1:12">
      <c r="A96" s="399" t="s">
        <v>96</v>
      </c>
      <c r="B96" s="404" t="s">
        <v>374</v>
      </c>
      <c r="C96" s="409"/>
      <c r="D96" s="439" t="s">
        <v>341</v>
      </c>
      <c r="E96" s="439"/>
      <c r="F96" s="405" t="s">
        <v>266</v>
      </c>
      <c r="G96" s="440"/>
      <c r="H96" s="409"/>
      <c r="I96" s="441" t="s">
        <v>304</v>
      </c>
      <c r="J96" s="387"/>
      <c r="K96" s="387"/>
      <c r="L96" s="387"/>
    </row>
    <row r="97" spans="1:12">
      <c r="A97" s="399" t="s">
        <v>96</v>
      </c>
      <c r="B97" s="407"/>
      <c r="C97" s="387"/>
      <c r="D97" s="433"/>
      <c r="E97" s="433"/>
      <c r="F97" s="408"/>
      <c r="G97" s="408"/>
      <c r="H97" s="387"/>
      <c r="I97" s="427"/>
      <c r="J97" s="387"/>
      <c r="K97" s="387"/>
      <c r="L97" s="387"/>
    </row>
    <row r="98" spans="1:12" ht="12">
      <c r="A98" s="399">
        <f>A93+1</f>
        <v>43</v>
      </c>
      <c r="B98" s="423" t="s">
        <v>374</v>
      </c>
      <c r="C98" s="423"/>
      <c r="D98" s="362"/>
      <c r="E98" s="423"/>
      <c r="F98" s="444"/>
      <c r="G98" s="444"/>
      <c r="H98" s="425"/>
      <c r="I98" s="363">
        <f>20148*(2/12)</f>
        <v>3358</v>
      </c>
      <c r="J98" s="387" t="s">
        <v>375</v>
      </c>
      <c r="K98" s="387"/>
      <c r="L98" s="387"/>
    </row>
    <row r="99" spans="1:12" ht="12">
      <c r="A99" s="399"/>
      <c r="B99" s="423"/>
      <c r="C99" s="423"/>
      <c r="D99" s="362"/>
      <c r="E99" s="423"/>
      <c r="F99" s="444"/>
      <c r="G99" s="444"/>
      <c r="H99" s="425"/>
      <c r="I99" s="362"/>
      <c r="J99" s="387"/>
      <c r="K99" s="387"/>
      <c r="L99" s="387"/>
    </row>
    <row r="100" spans="1:12">
      <c r="A100" s="434"/>
      <c r="B100" s="414"/>
      <c r="C100" s="435"/>
      <c r="D100" s="435"/>
      <c r="E100" s="435"/>
      <c r="F100" s="417"/>
      <c r="G100" s="417"/>
      <c r="H100" s="435"/>
      <c r="I100" s="418"/>
      <c r="J100" s="387"/>
      <c r="K100" s="387"/>
      <c r="L100" s="387"/>
    </row>
    <row r="101" spans="1:12" ht="12.6" thickBot="1">
      <c r="A101" s="434">
        <f>A98+1</f>
        <v>44</v>
      </c>
      <c r="B101" s="423" t="s">
        <v>376</v>
      </c>
      <c r="C101" s="448"/>
      <c r="D101" s="448"/>
      <c r="E101" s="448"/>
      <c r="F101" s="449"/>
      <c r="G101" s="449"/>
      <c r="H101" s="448"/>
      <c r="I101" s="450">
        <f>I64+I88+I93+I98</f>
        <v>177160.75</v>
      </c>
      <c r="J101" s="387"/>
      <c r="K101" s="387"/>
      <c r="L101" s="387"/>
    </row>
    <row r="102" spans="1:12" ht="12.6" thickTop="1">
      <c r="A102" s="434"/>
      <c r="B102" s="423"/>
      <c r="C102" s="448"/>
      <c r="D102" s="448"/>
      <c r="E102" s="448"/>
      <c r="F102" s="449"/>
      <c r="G102" s="449"/>
      <c r="H102" s="448"/>
      <c r="I102" s="432"/>
      <c r="J102" s="387"/>
      <c r="K102" s="387"/>
      <c r="L102" s="387"/>
    </row>
    <row r="103" spans="1:12" ht="12">
      <c r="A103" s="434"/>
      <c r="B103" s="423"/>
      <c r="C103" s="448"/>
      <c r="D103" s="448"/>
      <c r="E103" s="448"/>
      <c r="F103" s="449"/>
      <c r="G103" s="449"/>
      <c r="H103" s="448"/>
      <c r="I103" s="432"/>
      <c r="J103" s="387"/>
      <c r="K103" s="387"/>
      <c r="L103" s="387"/>
    </row>
    <row r="104" spans="1:12">
      <c r="A104" s="407" t="s">
        <v>377</v>
      </c>
      <c r="B104" s="451"/>
      <c r="C104" s="387"/>
      <c r="D104" s="387"/>
      <c r="E104" s="387"/>
      <c r="F104" s="387"/>
      <c r="G104" s="387"/>
      <c r="H104" s="387"/>
      <c r="I104" s="387"/>
      <c r="J104" s="387"/>
      <c r="K104" s="387"/>
      <c r="L104" s="387"/>
    </row>
    <row r="105" spans="1:12">
      <c r="A105" s="452"/>
      <c r="B105" s="387"/>
      <c r="C105" s="387"/>
      <c r="D105" s="387"/>
      <c r="E105" s="387"/>
      <c r="F105" s="387"/>
      <c r="G105" s="387"/>
      <c r="H105" s="387"/>
      <c r="I105" s="387"/>
      <c r="J105" s="387"/>
      <c r="K105" s="387"/>
      <c r="L105" s="387"/>
    </row>
    <row r="106" spans="1:12">
      <c r="A106" s="387"/>
      <c r="B106" s="387"/>
      <c r="C106" s="387"/>
      <c r="D106" s="387"/>
      <c r="E106" s="387"/>
      <c r="F106" s="387"/>
      <c r="G106" s="387"/>
      <c r="H106" s="387"/>
      <c r="I106" s="387"/>
      <c r="J106" s="387"/>
      <c r="K106" s="387"/>
      <c r="L106" s="387"/>
    </row>
    <row r="107" spans="1:12">
      <c r="A107" s="387"/>
      <c r="B107" s="387"/>
      <c r="C107" s="387"/>
      <c r="D107" s="387"/>
      <c r="E107" s="387"/>
      <c r="F107" s="387"/>
      <c r="G107" s="387"/>
      <c r="H107" s="387"/>
      <c r="I107" s="387"/>
      <c r="J107" s="387"/>
      <c r="K107" s="387"/>
      <c r="L107" s="387"/>
    </row>
  </sheetData>
  <printOptions horizontalCentered="1"/>
  <pageMargins left="0.79" right="0.63" top="0.68" bottom="0.65" header="0.5" footer="0.4"/>
  <pageSetup scale="5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4"/>
  <sheetViews>
    <sheetView zoomScaleNormal="80" workbookViewId="0">
      <pane xSplit="2" ySplit="12" topLeftCell="C63" activePane="bottomRight" state="frozen"/>
      <selection pane="topRight" activeCell="C1" sqref="C1"/>
      <selection pane="bottomLeft" activeCell="A14" sqref="A14"/>
      <selection pane="bottomRight" activeCell="D87" sqref="D87"/>
    </sheetView>
  </sheetViews>
  <sheetFormatPr defaultColWidth="14" defaultRowHeight="11.4" outlineLevelRow="1"/>
  <cols>
    <col min="1" max="1" width="4.33203125" style="356" customWidth="1"/>
    <col min="2" max="2" width="15.109375" style="356" customWidth="1"/>
    <col min="3" max="3" width="50.33203125" style="356" customWidth="1"/>
    <col min="4" max="4" width="9" style="356" customWidth="1"/>
    <col min="5" max="5" width="2.5546875" style="356" customWidth="1"/>
    <col min="6" max="6" width="11.33203125" style="356" customWidth="1"/>
    <col min="7" max="7" width="2" style="356" hidden="1" customWidth="1"/>
    <col min="8" max="8" width="1.6640625" style="356" customWidth="1"/>
    <col min="9" max="9" width="13.33203125" style="356" customWidth="1"/>
    <col min="10" max="10" width="39.33203125" style="356" customWidth="1"/>
    <col min="11" max="12" width="20.44140625" style="356" customWidth="1"/>
    <col min="13" max="16384" width="14" style="356"/>
  </cols>
  <sheetData>
    <row r="1" spans="1:13" ht="39.75" customHeight="1">
      <c r="A1" s="386" t="s">
        <v>378</v>
      </c>
      <c r="B1" s="387"/>
      <c r="C1" s="387"/>
      <c r="D1" s="387"/>
      <c r="E1" s="387"/>
      <c r="F1" s="387"/>
      <c r="G1" s="387"/>
      <c r="H1" s="387"/>
      <c r="I1" s="388"/>
      <c r="J1" s="387"/>
      <c r="K1" s="387"/>
      <c r="L1" s="387"/>
      <c r="M1" s="387"/>
    </row>
    <row r="2" spans="1:13">
      <c r="A2" s="387"/>
      <c r="B2" s="387"/>
      <c r="C2" s="387"/>
      <c r="D2" s="387"/>
      <c r="E2" s="387"/>
      <c r="F2" s="387"/>
      <c r="G2" s="387"/>
      <c r="H2" s="387"/>
      <c r="I2" s="388"/>
      <c r="J2" s="387"/>
      <c r="K2" s="387"/>
      <c r="L2" s="387"/>
      <c r="M2" s="387"/>
    </row>
    <row r="3" spans="1:13" ht="12" customHeight="1">
      <c r="A3" s="387"/>
      <c r="B3" s="387"/>
      <c r="C3" s="387"/>
      <c r="D3" s="387"/>
      <c r="E3" s="387"/>
      <c r="F3" s="387"/>
      <c r="G3" s="387"/>
      <c r="H3" s="387"/>
      <c r="I3" s="388"/>
      <c r="J3" s="387"/>
      <c r="K3" s="387"/>
      <c r="L3" s="387"/>
      <c r="M3" s="387"/>
    </row>
    <row r="4" spans="1:13" ht="12" customHeight="1">
      <c r="A4" s="387"/>
      <c r="B4" s="387"/>
      <c r="C4" s="387"/>
      <c r="D4" s="387"/>
      <c r="E4" s="387"/>
      <c r="F4" s="387"/>
      <c r="G4" s="387"/>
      <c r="H4" s="387"/>
      <c r="I4" s="388"/>
      <c r="J4" s="387"/>
      <c r="K4" s="387"/>
      <c r="L4" s="387"/>
      <c r="M4" s="387"/>
    </row>
    <row r="5" spans="1:13" ht="12" customHeight="1">
      <c r="A5" s="387"/>
      <c r="B5" s="387"/>
      <c r="C5" s="387"/>
      <c r="D5" s="387"/>
      <c r="E5" s="387"/>
      <c r="F5" s="387"/>
      <c r="G5" s="387"/>
      <c r="H5" s="387"/>
      <c r="I5" s="388"/>
      <c r="J5" s="387"/>
      <c r="K5" s="387"/>
      <c r="L5" s="387"/>
      <c r="M5" s="387"/>
    </row>
    <row r="6" spans="1:13" ht="12.75" customHeight="1">
      <c r="A6" s="387"/>
      <c r="B6" s="387"/>
      <c r="C6" s="387"/>
      <c r="D6" s="387"/>
      <c r="E6" s="387"/>
      <c r="F6" s="387"/>
      <c r="G6" s="387"/>
      <c r="H6" s="387"/>
      <c r="I6" s="389"/>
      <c r="J6" s="387"/>
      <c r="K6" s="387"/>
      <c r="L6" s="387"/>
      <c r="M6" s="387"/>
    </row>
    <row r="7" spans="1:13" ht="13.2">
      <c r="A7" s="390" t="s">
        <v>293</v>
      </c>
      <c r="B7" s="387"/>
      <c r="C7" s="387"/>
      <c r="D7" s="391"/>
      <c r="E7" s="391"/>
      <c r="F7" s="392"/>
      <c r="G7" s="392"/>
      <c r="H7" s="393"/>
      <c r="I7" s="394"/>
      <c r="J7" s="387"/>
      <c r="K7" s="387"/>
      <c r="L7" s="387"/>
      <c r="M7" s="387"/>
    </row>
    <row r="8" spans="1:13">
      <c r="A8" s="395" t="s">
        <v>379</v>
      </c>
      <c r="B8" s="387"/>
      <c r="C8" s="387"/>
      <c r="D8" s="393"/>
      <c r="E8" s="393"/>
      <c r="F8" s="396"/>
      <c r="G8" s="396"/>
      <c r="H8" s="391"/>
      <c r="I8" s="391"/>
      <c r="J8" s="387"/>
      <c r="K8" s="387"/>
      <c r="L8" s="387"/>
      <c r="M8" s="387"/>
    </row>
    <row r="9" spans="1:13">
      <c r="A9" s="397"/>
      <c r="B9" s="387"/>
      <c r="C9" s="387"/>
      <c r="D9" s="393"/>
      <c r="E9" s="393"/>
      <c r="F9" s="396"/>
      <c r="G9" s="396"/>
      <c r="H9" s="391"/>
      <c r="I9" s="398"/>
      <c r="J9" s="387"/>
      <c r="K9" s="387"/>
      <c r="L9" s="387"/>
      <c r="M9" s="387"/>
    </row>
    <row r="10" spans="1:13">
      <c r="A10" s="399" t="s">
        <v>295</v>
      </c>
      <c r="B10" s="399"/>
      <c r="C10" s="399"/>
      <c r="D10" s="400"/>
      <c r="E10" s="401"/>
      <c r="F10" s="402"/>
      <c r="G10" s="402"/>
      <c r="H10" s="387"/>
      <c r="I10" s="398"/>
      <c r="J10" s="387"/>
      <c r="K10" s="387"/>
      <c r="L10" s="387"/>
      <c r="M10" s="387"/>
    </row>
    <row r="11" spans="1:13">
      <c r="A11" s="403" t="s">
        <v>296</v>
      </c>
      <c r="B11" s="403"/>
      <c r="C11" s="404" t="s">
        <v>297</v>
      </c>
      <c r="D11" s="403" t="s">
        <v>298</v>
      </c>
      <c r="E11" s="403"/>
      <c r="F11" s="405" t="s">
        <v>299</v>
      </c>
      <c r="G11" s="405"/>
      <c r="H11" s="403"/>
      <c r="I11" s="406">
        <v>2016</v>
      </c>
      <c r="J11" s="387"/>
      <c r="K11" s="387"/>
      <c r="L11" s="387"/>
      <c r="M11" s="387"/>
    </row>
    <row r="12" spans="1:13">
      <c r="A12" s="399"/>
      <c r="B12" s="399"/>
      <c r="C12" s="407" t="s">
        <v>300</v>
      </c>
      <c r="D12" s="399" t="s">
        <v>5</v>
      </c>
      <c r="E12" s="393"/>
      <c r="F12" s="408" t="s">
        <v>6</v>
      </c>
      <c r="G12" s="408"/>
      <c r="H12" s="399"/>
      <c r="I12" s="399" t="s">
        <v>7</v>
      </c>
      <c r="J12" s="387"/>
      <c r="K12" s="387" t="s">
        <v>404</v>
      </c>
      <c r="L12" s="387"/>
      <c r="M12" s="387"/>
    </row>
    <row r="13" spans="1:13">
      <c r="A13" s="399"/>
      <c r="B13" s="399"/>
      <c r="C13" s="407"/>
      <c r="D13" s="399"/>
      <c r="E13" s="393"/>
      <c r="F13" s="408"/>
      <c r="G13" s="408"/>
      <c r="H13" s="399"/>
      <c r="I13" s="399"/>
      <c r="J13" s="387"/>
      <c r="K13" s="387"/>
      <c r="L13" s="387"/>
      <c r="M13" s="387"/>
    </row>
    <row r="14" spans="1:13">
      <c r="A14" s="399"/>
      <c r="B14" s="404" t="s">
        <v>301</v>
      </c>
      <c r="C14" s="409"/>
      <c r="D14" s="403" t="s">
        <v>302</v>
      </c>
      <c r="E14" s="410"/>
      <c r="F14" s="405" t="s">
        <v>303</v>
      </c>
      <c r="G14" s="405"/>
      <c r="H14" s="409"/>
      <c r="I14" s="411" t="s">
        <v>304</v>
      </c>
      <c r="J14" s="387"/>
      <c r="K14" s="387"/>
      <c r="L14" s="387"/>
      <c r="M14" s="387"/>
    </row>
    <row r="15" spans="1:13">
      <c r="A15" s="399"/>
      <c r="B15" s="407"/>
      <c r="C15" s="407"/>
      <c r="D15" s="407"/>
      <c r="E15" s="407"/>
      <c r="F15" s="408"/>
      <c r="G15" s="408"/>
      <c r="H15" s="387"/>
      <c r="I15" s="412"/>
      <c r="J15" s="387"/>
      <c r="K15" s="387"/>
      <c r="L15" s="387"/>
      <c r="M15" s="387"/>
    </row>
    <row r="16" spans="1:13">
      <c r="A16" s="399"/>
      <c r="B16" s="407" t="s">
        <v>305</v>
      </c>
      <c r="C16" s="407"/>
      <c r="D16" s="407"/>
      <c r="E16" s="407"/>
      <c r="F16" s="408"/>
      <c r="G16" s="408"/>
      <c r="H16" s="387"/>
      <c r="I16" s="412"/>
      <c r="J16" s="387"/>
      <c r="K16" s="387"/>
      <c r="L16" s="387"/>
      <c r="M16" s="387"/>
    </row>
    <row r="17" spans="1:13" ht="13.2">
      <c r="A17" s="399">
        <v>1</v>
      </c>
      <c r="B17" s="413" t="s">
        <v>11</v>
      </c>
      <c r="C17" s="414" t="s">
        <v>380</v>
      </c>
      <c r="D17" s="415">
        <v>8.5169999999999995</v>
      </c>
      <c r="E17" s="415"/>
      <c r="F17" s="416">
        <v>0</v>
      </c>
      <c r="G17" s="417"/>
      <c r="H17" s="387"/>
      <c r="I17" s="418">
        <f>ROUND(D17*F17*12/1000,0)</f>
        <v>0</v>
      </c>
      <c r="J17" s="387" t="s">
        <v>307</v>
      </c>
      <c r="K17" s="387"/>
      <c r="L17" s="387"/>
      <c r="M17" s="387"/>
    </row>
    <row r="18" spans="1:13">
      <c r="A18" s="399"/>
      <c r="B18" s="413"/>
      <c r="C18" s="407"/>
      <c r="D18" s="415"/>
      <c r="E18" s="415"/>
      <c r="F18" s="387"/>
      <c r="G18" s="387"/>
      <c r="H18" s="387"/>
      <c r="I18" s="418"/>
      <c r="J18" s="387"/>
      <c r="K18" s="387"/>
      <c r="L18" s="387"/>
      <c r="M18" s="387"/>
    </row>
    <row r="19" spans="1:13">
      <c r="A19" s="399">
        <f>A17+1</f>
        <v>2</v>
      </c>
      <c r="B19" s="413" t="s">
        <v>11</v>
      </c>
      <c r="C19" s="407" t="s">
        <v>308</v>
      </c>
      <c r="D19" s="419">
        <v>1.0800000000000001E-2</v>
      </c>
      <c r="E19" s="419"/>
      <c r="F19" s="416">
        <v>0</v>
      </c>
      <c r="G19" s="402"/>
      <c r="H19" s="420"/>
      <c r="I19" s="418">
        <f>ROUND(D19*F19/1000,0)</f>
        <v>0</v>
      </c>
      <c r="J19" s="387"/>
      <c r="K19" s="387"/>
      <c r="L19" s="387"/>
      <c r="M19" s="387"/>
    </row>
    <row r="20" spans="1:13">
      <c r="A20" s="399">
        <f>A19+1</f>
        <v>3</v>
      </c>
      <c r="B20" s="413" t="s">
        <v>11</v>
      </c>
      <c r="C20" s="407" t="s">
        <v>309</v>
      </c>
      <c r="D20" s="419">
        <v>0</v>
      </c>
      <c r="E20" s="419"/>
      <c r="F20" s="421">
        <v>0</v>
      </c>
      <c r="G20" s="402"/>
      <c r="H20" s="420"/>
      <c r="I20" s="418">
        <f>ROUND(D20*F20/1000,0)</f>
        <v>0</v>
      </c>
      <c r="J20" s="387"/>
      <c r="K20" s="387"/>
      <c r="L20" s="387"/>
      <c r="M20" s="387"/>
    </row>
    <row r="21" spans="1:13">
      <c r="A21" s="399">
        <f>A20+1</f>
        <v>4</v>
      </c>
      <c r="B21" s="399"/>
      <c r="C21" s="407" t="s">
        <v>310</v>
      </c>
      <c r="D21" s="419">
        <v>1.8E-3</v>
      </c>
      <c r="E21" s="419"/>
      <c r="F21" s="421">
        <f>F20</f>
        <v>0</v>
      </c>
      <c r="G21" s="402"/>
      <c r="H21" s="420"/>
      <c r="I21" s="418">
        <f>ROUND(D21*F21/1000,0)</f>
        <v>0</v>
      </c>
      <c r="J21" s="387"/>
      <c r="K21" s="387"/>
      <c r="L21" s="387"/>
      <c r="M21" s="387"/>
    </row>
    <row r="22" spans="1:13" ht="15" customHeight="1">
      <c r="A22" s="399">
        <f>A21+1</f>
        <v>5</v>
      </c>
      <c r="B22" s="422"/>
      <c r="C22" s="423" t="s">
        <v>311</v>
      </c>
      <c r="D22" s="424"/>
      <c r="E22" s="424"/>
      <c r="F22" s="425"/>
      <c r="G22" s="425"/>
      <c r="H22" s="425"/>
      <c r="I22" s="426">
        <f>SUM(I17:I21)</f>
        <v>0</v>
      </c>
      <c r="J22" s="387"/>
      <c r="K22" s="387"/>
      <c r="L22" s="387"/>
      <c r="M22" s="387"/>
    </row>
    <row r="23" spans="1:13">
      <c r="A23" s="399"/>
      <c r="B23" s="399"/>
      <c r="C23" s="407"/>
      <c r="D23" s="419"/>
      <c r="E23" s="419"/>
      <c r="F23" s="387"/>
      <c r="G23" s="387"/>
      <c r="H23" s="387"/>
      <c r="I23" s="418"/>
      <c r="J23" s="387"/>
      <c r="K23" s="387"/>
      <c r="L23" s="387"/>
      <c r="M23" s="387"/>
    </row>
    <row r="24" spans="1:13">
      <c r="A24" s="399"/>
      <c r="B24" s="407" t="s">
        <v>312</v>
      </c>
      <c r="C24" s="407"/>
      <c r="D24" s="419"/>
      <c r="E24" s="419"/>
      <c r="F24" s="402"/>
      <c r="G24" s="402"/>
      <c r="H24" s="387"/>
      <c r="I24" s="427"/>
      <c r="J24" s="387"/>
      <c r="K24" s="387"/>
      <c r="L24" s="387"/>
      <c r="M24" s="387"/>
    </row>
    <row r="25" spans="1:13">
      <c r="A25" s="399">
        <f>A22+1</f>
        <v>6</v>
      </c>
      <c r="B25" s="413" t="s">
        <v>11</v>
      </c>
      <c r="C25" s="387" t="s">
        <v>313</v>
      </c>
      <c r="D25" s="428">
        <v>11.442</v>
      </c>
      <c r="E25" s="415"/>
      <c r="F25" s="421">
        <v>313727</v>
      </c>
      <c r="G25" s="402"/>
      <c r="H25" s="387"/>
      <c r="I25" s="427">
        <f>ROUND(D25*F25*12/1000,0)</f>
        <v>43076</v>
      </c>
      <c r="J25" s="387" t="s">
        <v>314</v>
      </c>
      <c r="K25" s="387"/>
      <c r="L25" s="387"/>
      <c r="M25" s="387"/>
    </row>
    <row r="26" spans="1:13">
      <c r="A26" s="399">
        <f>A25+1</f>
        <v>7</v>
      </c>
      <c r="B26" s="413" t="s">
        <v>11</v>
      </c>
      <c r="C26" s="387" t="s">
        <v>315</v>
      </c>
      <c r="D26" s="428">
        <v>11.442</v>
      </c>
      <c r="E26" s="415"/>
      <c r="F26" s="416">
        <f>123962+2843</f>
        <v>126805</v>
      </c>
      <c r="G26" s="402"/>
      <c r="H26" s="387"/>
      <c r="I26" s="427">
        <f>ROUND(D26*F26*3/1000,0)</f>
        <v>4353</v>
      </c>
      <c r="J26" s="387" t="s">
        <v>316</v>
      </c>
      <c r="K26" s="429">
        <f>+I26-4255</f>
        <v>98</v>
      </c>
      <c r="L26" s="387"/>
      <c r="M26" s="387"/>
    </row>
    <row r="27" spans="1:13">
      <c r="A27" s="399">
        <f>A26+1</f>
        <v>8</v>
      </c>
      <c r="B27" s="413" t="s">
        <v>11</v>
      </c>
      <c r="C27" s="387" t="s">
        <v>317</v>
      </c>
      <c r="D27" s="428">
        <v>11.442</v>
      </c>
      <c r="E27" s="415"/>
      <c r="F27" s="416">
        <v>160000</v>
      </c>
      <c r="G27" s="402"/>
      <c r="H27" s="387"/>
      <c r="I27" s="427">
        <f>ROUND(D27*F27*7/1000,0)</f>
        <v>12815</v>
      </c>
      <c r="J27" s="387" t="s">
        <v>316</v>
      </c>
      <c r="K27" s="387"/>
      <c r="L27" s="387"/>
      <c r="M27" s="387"/>
    </row>
    <row r="28" spans="1:13">
      <c r="A28" s="399">
        <f>A27+1</f>
        <v>9</v>
      </c>
      <c r="B28" s="413" t="s">
        <v>11</v>
      </c>
      <c r="C28" s="387" t="s">
        <v>318</v>
      </c>
      <c r="D28" s="428">
        <v>11.442</v>
      </c>
      <c r="E28" s="415"/>
      <c r="F28" s="416">
        <f>123962+2843</f>
        <v>126805</v>
      </c>
      <c r="G28" s="402"/>
      <c r="H28" s="387"/>
      <c r="I28" s="427">
        <f>ROUND(D28*F28*2/1000,0)</f>
        <v>2902</v>
      </c>
      <c r="J28" s="387" t="s">
        <v>316</v>
      </c>
      <c r="K28" s="429">
        <f>+I28-2837</f>
        <v>65</v>
      </c>
      <c r="L28" s="387"/>
      <c r="M28" s="387"/>
    </row>
    <row r="29" spans="1:13">
      <c r="A29" s="399">
        <f>A28+1</f>
        <v>10</v>
      </c>
      <c r="B29" s="413"/>
      <c r="C29" s="407" t="s">
        <v>319</v>
      </c>
      <c r="D29" s="415"/>
      <c r="E29" s="415"/>
      <c r="F29" s="387"/>
      <c r="G29" s="387"/>
      <c r="H29" s="387"/>
      <c r="I29" s="430">
        <f>SUM(I25:I28)</f>
        <v>63146</v>
      </c>
      <c r="J29" s="387"/>
      <c r="K29" s="387"/>
      <c r="L29" s="387"/>
      <c r="M29" s="387"/>
    </row>
    <row r="30" spans="1:13">
      <c r="A30" s="399"/>
      <c r="B30" s="413"/>
      <c r="C30" s="387"/>
      <c r="D30" s="415"/>
      <c r="E30" s="415"/>
      <c r="F30" s="402"/>
      <c r="G30" s="402"/>
      <c r="H30" s="387"/>
      <c r="I30" s="427"/>
      <c r="J30" s="387"/>
      <c r="K30" s="387"/>
      <c r="L30" s="387"/>
      <c r="M30" s="387"/>
    </row>
    <row r="31" spans="1:13">
      <c r="A31" s="399">
        <f>A29+1</f>
        <v>11</v>
      </c>
      <c r="B31" s="413" t="s">
        <v>11</v>
      </c>
      <c r="C31" s="407" t="s">
        <v>320</v>
      </c>
      <c r="D31" s="419">
        <v>1.307E-2</v>
      </c>
      <c r="E31" s="419"/>
      <c r="F31" s="421">
        <v>80000000</v>
      </c>
      <c r="G31" s="402"/>
      <c r="H31" s="420"/>
      <c r="I31" s="427">
        <f>ROUND(D31*F31/1000,0)</f>
        <v>1046</v>
      </c>
      <c r="J31" s="387" t="s">
        <v>321</v>
      </c>
      <c r="K31" s="387"/>
      <c r="L31" s="387"/>
      <c r="M31" s="387"/>
    </row>
    <row r="32" spans="1:13">
      <c r="A32" s="399">
        <f>A31+1</f>
        <v>12</v>
      </c>
      <c r="B32" s="413"/>
      <c r="C32" s="407" t="s">
        <v>310</v>
      </c>
      <c r="D32" s="419">
        <v>1.1999999999999999E-3</v>
      </c>
      <c r="E32" s="419"/>
      <c r="F32" s="416">
        <f>F31</f>
        <v>80000000</v>
      </c>
      <c r="G32" s="417"/>
      <c r="H32" s="420"/>
      <c r="I32" s="418">
        <f>ROUND(D32*F32/1000,0)</f>
        <v>96</v>
      </c>
      <c r="J32" s="387" t="s">
        <v>321</v>
      </c>
      <c r="K32" s="387"/>
      <c r="L32" s="387"/>
      <c r="M32" s="387"/>
    </row>
    <row r="33" spans="1:13" ht="15" customHeight="1">
      <c r="A33" s="399">
        <f>A32+1</f>
        <v>13</v>
      </c>
      <c r="B33" s="422"/>
      <c r="C33" s="423" t="s">
        <v>322</v>
      </c>
      <c r="D33" s="431"/>
      <c r="E33" s="431"/>
      <c r="F33" s="425"/>
      <c r="G33" s="425"/>
      <c r="H33" s="425"/>
      <c r="I33" s="426">
        <f>SUM(I29:I32)</f>
        <v>64288</v>
      </c>
      <c r="J33" s="387"/>
      <c r="K33" s="387"/>
      <c r="L33" s="387"/>
      <c r="M33" s="387"/>
    </row>
    <row r="34" spans="1:13" ht="15" customHeight="1">
      <c r="A34" s="399"/>
      <c r="B34" s="422"/>
      <c r="C34" s="423"/>
      <c r="D34" s="431"/>
      <c r="E34" s="431"/>
      <c r="F34" s="425"/>
      <c r="G34" s="425"/>
      <c r="H34" s="425"/>
      <c r="I34" s="432"/>
      <c r="J34" s="387"/>
      <c r="K34" s="387"/>
      <c r="L34" s="387"/>
      <c r="M34" s="387"/>
    </row>
    <row r="35" spans="1:13">
      <c r="A35" s="399"/>
      <c r="B35" s="407" t="s">
        <v>323</v>
      </c>
      <c r="C35" s="407"/>
      <c r="D35" s="419"/>
      <c r="E35" s="419"/>
      <c r="F35" s="402"/>
      <c r="G35" s="402"/>
      <c r="H35" s="387"/>
      <c r="I35" s="427"/>
      <c r="J35" s="387"/>
      <c r="K35" s="387"/>
      <c r="L35" s="387"/>
      <c r="M35" s="387"/>
    </row>
    <row r="36" spans="1:13" ht="13.2">
      <c r="A36" s="399">
        <f>A33+1</f>
        <v>14</v>
      </c>
      <c r="B36" s="413" t="s">
        <v>11</v>
      </c>
      <c r="C36" s="387" t="s">
        <v>324</v>
      </c>
      <c r="D36" s="428">
        <v>8.3379999999999992</v>
      </c>
      <c r="E36" s="415"/>
      <c r="F36" s="416">
        <f>36038-2843</f>
        <v>33195</v>
      </c>
      <c r="G36" s="402"/>
      <c r="H36" s="387"/>
      <c r="I36" s="427">
        <f>ROUND(D36*F36*3/1000,0)</f>
        <v>830</v>
      </c>
      <c r="J36" s="387" t="s">
        <v>316</v>
      </c>
      <c r="K36" s="429">
        <f>+I36-901</f>
        <v>-71</v>
      </c>
      <c r="L36" s="387"/>
      <c r="M36" s="387"/>
    </row>
    <row r="37" spans="1:13" ht="13.2">
      <c r="A37" s="399">
        <f>A36+1</f>
        <v>15</v>
      </c>
      <c r="B37" s="413" t="s">
        <v>11</v>
      </c>
      <c r="C37" s="387" t="s">
        <v>325</v>
      </c>
      <c r="D37" s="428">
        <v>8.3379999999999992</v>
      </c>
      <c r="E37" s="415"/>
      <c r="F37" s="416">
        <v>0</v>
      </c>
      <c r="G37" s="402"/>
      <c r="H37" s="387"/>
      <c r="I37" s="427">
        <f>ROUND(D37*F37*7/1000,0)</f>
        <v>0</v>
      </c>
      <c r="J37" s="387" t="s">
        <v>316</v>
      </c>
      <c r="K37" s="387"/>
      <c r="L37" s="387"/>
      <c r="M37" s="387"/>
    </row>
    <row r="38" spans="1:13" ht="13.2">
      <c r="A38" s="399">
        <f>A37+1</f>
        <v>16</v>
      </c>
      <c r="B38" s="413" t="s">
        <v>11</v>
      </c>
      <c r="C38" s="387" t="s">
        <v>326</v>
      </c>
      <c r="D38" s="428">
        <v>8.3379999999999992</v>
      </c>
      <c r="E38" s="415"/>
      <c r="F38" s="416">
        <f>36038-2843</f>
        <v>33195</v>
      </c>
      <c r="G38" s="402"/>
      <c r="H38" s="387"/>
      <c r="I38" s="427">
        <f>ROUND(D38*F38*2/1000,0)</f>
        <v>554</v>
      </c>
      <c r="J38" s="387" t="s">
        <v>316</v>
      </c>
      <c r="K38" s="429">
        <f>I38-601</f>
        <v>-47</v>
      </c>
      <c r="L38" s="387"/>
      <c r="M38" s="387"/>
    </row>
    <row r="39" spans="1:13">
      <c r="A39" s="399">
        <f>A38+1</f>
        <v>17</v>
      </c>
      <c r="B39" s="413"/>
      <c r="C39" s="407" t="s">
        <v>319</v>
      </c>
      <c r="D39" s="415"/>
      <c r="E39" s="415"/>
      <c r="F39" s="387"/>
      <c r="G39" s="387"/>
      <c r="H39" s="387"/>
      <c r="I39" s="430">
        <f>SUM(I36:I38)</f>
        <v>1384</v>
      </c>
      <c r="J39" s="387"/>
      <c r="K39" s="387"/>
      <c r="L39" s="387"/>
      <c r="M39" s="387"/>
    </row>
    <row r="40" spans="1:13">
      <c r="A40" s="399"/>
      <c r="B40" s="413"/>
      <c r="C40" s="387"/>
      <c r="D40" s="415"/>
      <c r="E40" s="415"/>
      <c r="F40" s="402"/>
      <c r="G40" s="402"/>
      <c r="H40" s="387"/>
      <c r="I40" s="427"/>
      <c r="J40" s="387"/>
      <c r="K40" s="387"/>
      <c r="L40" s="387"/>
      <c r="M40" s="387"/>
    </row>
    <row r="41" spans="1:13" ht="12" customHeight="1">
      <c r="A41" s="399">
        <f>A39+1</f>
        <v>18</v>
      </c>
      <c r="B41" s="413" t="s">
        <v>11</v>
      </c>
      <c r="C41" s="407" t="s">
        <v>320</v>
      </c>
      <c r="D41" s="419">
        <v>9.1199999999999996E-3</v>
      </c>
      <c r="E41" s="419"/>
      <c r="F41" s="416">
        <v>3750000</v>
      </c>
      <c r="G41" s="402"/>
      <c r="H41" s="420"/>
      <c r="I41" s="427">
        <f>ROUND(D41*F41/1000,0)</f>
        <v>34</v>
      </c>
      <c r="J41" s="387" t="s">
        <v>321</v>
      </c>
      <c r="K41" s="387"/>
      <c r="L41" s="387"/>
      <c r="M41" s="387"/>
    </row>
    <row r="42" spans="1:13" ht="12" customHeight="1">
      <c r="A42" s="399">
        <f>A41+1</f>
        <v>19</v>
      </c>
      <c r="B42" s="413"/>
      <c r="C42" s="407" t="s">
        <v>310</v>
      </c>
      <c r="D42" s="419">
        <v>1.1999999999999999E-3</v>
      </c>
      <c r="E42" s="419"/>
      <c r="F42" s="416">
        <f>F41</f>
        <v>3750000</v>
      </c>
      <c r="G42" s="417"/>
      <c r="H42" s="420"/>
      <c r="I42" s="418">
        <f>ROUND(D42*F42/1000,0)</f>
        <v>5</v>
      </c>
      <c r="J42" s="387" t="s">
        <v>321</v>
      </c>
      <c r="K42" s="387"/>
      <c r="L42" s="387"/>
      <c r="M42" s="387"/>
    </row>
    <row r="43" spans="1:13" ht="12" customHeight="1">
      <c r="A43" s="399">
        <f>A42+1</f>
        <v>20</v>
      </c>
      <c r="B43" s="422"/>
      <c r="C43" s="423" t="s">
        <v>327</v>
      </c>
      <c r="D43" s="431"/>
      <c r="E43" s="431"/>
      <c r="F43" s="425"/>
      <c r="G43" s="425"/>
      <c r="H43" s="425"/>
      <c r="I43" s="426">
        <f>SUM(I39:I42)</f>
        <v>1423</v>
      </c>
      <c r="J43" s="387"/>
      <c r="K43" s="387"/>
      <c r="L43" s="387"/>
      <c r="M43" s="387"/>
    </row>
    <row r="44" spans="1:13" ht="12" customHeight="1">
      <c r="A44" s="399"/>
      <c r="B44" s="422"/>
      <c r="C44" s="423"/>
      <c r="D44" s="431"/>
      <c r="E44" s="431"/>
      <c r="F44" s="425"/>
      <c r="G44" s="425"/>
      <c r="H44" s="425"/>
      <c r="I44" s="432"/>
      <c r="J44" s="387"/>
      <c r="K44" s="387"/>
      <c r="L44" s="387"/>
      <c r="M44" s="387"/>
    </row>
    <row r="45" spans="1:13" ht="12" customHeight="1">
      <c r="A45" s="399"/>
      <c r="B45" s="422"/>
      <c r="C45" s="423"/>
      <c r="D45" s="431"/>
      <c r="E45" s="431"/>
      <c r="F45" s="425"/>
      <c r="G45" s="425"/>
      <c r="H45" s="425"/>
      <c r="I45" s="432"/>
      <c r="J45" s="387"/>
      <c r="K45" s="387"/>
      <c r="L45" s="387"/>
      <c r="M45" s="387"/>
    </row>
    <row r="46" spans="1:13">
      <c r="A46" s="399"/>
      <c r="B46" s="407" t="s">
        <v>328</v>
      </c>
      <c r="C46" s="407"/>
      <c r="D46" s="419"/>
      <c r="E46" s="419"/>
      <c r="F46" s="402"/>
      <c r="G46" s="402"/>
      <c r="H46" s="387"/>
      <c r="I46" s="427"/>
      <c r="J46" s="387"/>
      <c r="K46" s="387"/>
      <c r="L46" s="387"/>
      <c r="M46" s="387"/>
    </row>
    <row r="47" spans="1:13">
      <c r="A47" s="399">
        <f>+A43+1</f>
        <v>21</v>
      </c>
      <c r="B47" s="413" t="s">
        <v>11</v>
      </c>
      <c r="C47" s="387" t="s">
        <v>329</v>
      </c>
      <c r="D47" s="428">
        <v>6.4109999999999996</v>
      </c>
      <c r="E47" s="415"/>
      <c r="F47" s="416">
        <v>5818</v>
      </c>
      <c r="G47" s="402"/>
      <c r="H47" s="387"/>
      <c r="I47" s="427">
        <f>ROUND(D47*F47*12/1000,0)</f>
        <v>448</v>
      </c>
      <c r="J47" s="387" t="s">
        <v>381</v>
      </c>
      <c r="K47" s="387"/>
      <c r="L47" s="387"/>
      <c r="M47" s="387"/>
    </row>
    <row r="48" spans="1:13">
      <c r="A48" s="399">
        <f>A47+1</f>
        <v>22</v>
      </c>
      <c r="B48" s="413" t="s">
        <v>11</v>
      </c>
      <c r="C48" s="387" t="s">
        <v>331</v>
      </c>
      <c r="D48" s="428">
        <v>6.4109999999999996</v>
      </c>
      <c r="E48" s="415"/>
      <c r="F48" s="416">
        <v>3635</v>
      </c>
      <c r="G48" s="402"/>
      <c r="H48" s="387"/>
      <c r="I48" s="427">
        <f>ROUND(D48*F48*12/1000,0)</f>
        <v>280</v>
      </c>
      <c r="J48" s="387" t="s">
        <v>332</v>
      </c>
      <c r="K48" s="387"/>
      <c r="L48" s="387"/>
      <c r="M48" s="387"/>
    </row>
    <row r="49" spans="1:13">
      <c r="A49" s="399">
        <f>+A48+1</f>
        <v>23</v>
      </c>
      <c r="B49" s="413" t="s">
        <v>11</v>
      </c>
      <c r="C49" s="387" t="s">
        <v>407</v>
      </c>
      <c r="D49" s="428">
        <v>6.4109999999999996</v>
      </c>
      <c r="E49" s="415"/>
      <c r="F49" s="416">
        <v>2843</v>
      </c>
      <c r="G49" s="402"/>
      <c r="H49" s="387"/>
      <c r="I49" s="427">
        <f>ROUND(D49*F49*12/1000,0)</f>
        <v>219</v>
      </c>
      <c r="J49" s="387" t="s">
        <v>406</v>
      </c>
      <c r="K49" s="429">
        <f>+I49</f>
        <v>219</v>
      </c>
      <c r="L49" s="387"/>
      <c r="M49" s="387"/>
    </row>
    <row r="50" spans="1:13">
      <c r="A50" s="399">
        <f>A49+1</f>
        <v>24</v>
      </c>
      <c r="B50" s="413"/>
      <c r="C50" s="407" t="s">
        <v>319</v>
      </c>
      <c r="D50" s="415"/>
      <c r="E50" s="415"/>
      <c r="F50" s="387"/>
      <c r="G50" s="387"/>
      <c r="H50" s="387"/>
      <c r="I50" s="430">
        <f>SUM(I47:I49)</f>
        <v>947</v>
      </c>
      <c r="J50" s="387"/>
      <c r="K50" s="387"/>
      <c r="L50" s="387"/>
      <c r="M50" s="387"/>
    </row>
    <row r="51" spans="1:13" ht="12" customHeight="1">
      <c r="A51" s="399"/>
      <c r="B51" s="413"/>
      <c r="C51" s="387"/>
      <c r="D51" s="415"/>
      <c r="E51" s="415"/>
      <c r="F51" s="402"/>
      <c r="G51" s="402"/>
      <c r="H51" s="387"/>
      <c r="I51" s="427"/>
      <c r="J51" s="387"/>
      <c r="K51" s="387"/>
      <c r="L51" s="387"/>
      <c r="M51" s="387"/>
    </row>
    <row r="52" spans="1:13" ht="12" customHeight="1">
      <c r="A52" s="399">
        <f>A50+1</f>
        <v>25</v>
      </c>
      <c r="B52" s="413" t="s">
        <v>11</v>
      </c>
      <c r="C52" s="407" t="s">
        <v>320</v>
      </c>
      <c r="D52" s="419">
        <v>7.45E-3</v>
      </c>
      <c r="E52" s="419"/>
      <c r="F52" s="416">
        <v>3000000</v>
      </c>
      <c r="G52" s="402"/>
      <c r="H52" s="420"/>
      <c r="I52" s="427">
        <f>ROUND(D52*F52/1000,0)</f>
        <v>22</v>
      </c>
      <c r="J52" s="387"/>
      <c r="K52" s="387"/>
      <c r="L52" s="387"/>
      <c r="M52" s="387"/>
    </row>
    <row r="53" spans="1:13" ht="12" customHeight="1">
      <c r="A53" s="399">
        <f>A52+1</f>
        <v>26</v>
      </c>
      <c r="B53" s="413"/>
      <c r="C53" s="407" t="s">
        <v>310</v>
      </c>
      <c r="D53" s="419">
        <v>1.1999999999999999E-3</v>
      </c>
      <c r="E53" s="419"/>
      <c r="F53" s="416">
        <f>F52</f>
        <v>3000000</v>
      </c>
      <c r="G53" s="417"/>
      <c r="H53" s="420"/>
      <c r="I53" s="418">
        <f>ROUND(D53*F53/1000,0)</f>
        <v>4</v>
      </c>
      <c r="J53" s="387"/>
      <c r="K53" s="387"/>
      <c r="L53" s="387"/>
      <c r="M53" s="387"/>
    </row>
    <row r="54" spans="1:13" ht="12" customHeight="1">
      <c r="A54" s="399">
        <f>A53+1</f>
        <v>27</v>
      </c>
      <c r="B54" s="422"/>
      <c r="C54" s="423" t="s">
        <v>333</v>
      </c>
      <c r="D54" s="431"/>
      <c r="E54" s="431"/>
      <c r="F54" s="425"/>
      <c r="G54" s="425"/>
      <c r="H54" s="425"/>
      <c r="I54" s="426">
        <f>SUM(I50:I53)</f>
        <v>973</v>
      </c>
      <c r="J54" s="387"/>
      <c r="K54" s="387"/>
      <c r="L54" s="387"/>
      <c r="M54" s="387"/>
    </row>
    <row r="55" spans="1:13">
      <c r="A55" s="399"/>
      <c r="B55" s="413"/>
      <c r="C55" s="387"/>
      <c r="D55" s="415"/>
      <c r="E55" s="415"/>
      <c r="F55" s="402"/>
      <c r="G55" s="402"/>
      <c r="H55" s="387"/>
      <c r="I55" s="418"/>
      <c r="J55" s="387"/>
      <c r="K55" s="387"/>
      <c r="L55" s="387"/>
      <c r="M55" s="387"/>
    </row>
    <row r="56" spans="1:13" ht="12">
      <c r="A56" s="399">
        <f>A54+1</f>
        <v>28</v>
      </c>
      <c r="B56" s="423" t="s">
        <v>334</v>
      </c>
      <c r="C56" s="425"/>
      <c r="D56" s="431"/>
      <c r="E56" s="431"/>
      <c r="F56" s="425"/>
      <c r="G56" s="425"/>
      <c r="H56" s="425"/>
      <c r="I56" s="432">
        <f>I22+I33+I43+I54</f>
        <v>66684</v>
      </c>
      <c r="J56" s="387"/>
      <c r="K56" s="429">
        <f>SUM(K26:K50)</f>
        <v>264</v>
      </c>
      <c r="L56" s="387"/>
      <c r="M56" s="387"/>
    </row>
    <row r="57" spans="1:13">
      <c r="A57" s="399"/>
      <c r="B57" s="407"/>
      <c r="C57" s="387"/>
      <c r="D57" s="433"/>
      <c r="E57" s="433"/>
      <c r="F57" s="387"/>
      <c r="G57" s="387"/>
      <c r="H57" s="387"/>
      <c r="I57" s="418"/>
      <c r="J57" s="387"/>
      <c r="K57" s="387"/>
      <c r="L57" s="387"/>
      <c r="M57" s="387"/>
    </row>
    <row r="58" spans="1:13" ht="12" customHeight="1">
      <c r="A58" s="434">
        <f>A56+1</f>
        <v>29</v>
      </c>
      <c r="B58" s="414" t="s">
        <v>335</v>
      </c>
      <c r="C58" s="435"/>
      <c r="D58" s="436">
        <f>1.19-1</f>
        <v>0.18999999999999995</v>
      </c>
      <c r="E58" s="435"/>
      <c r="F58" s="417"/>
      <c r="G58" s="417"/>
      <c r="H58" s="435"/>
      <c r="I58" s="437">
        <f>I56*D58</f>
        <v>12669.959999999997</v>
      </c>
      <c r="J58" s="387"/>
      <c r="K58" s="387"/>
      <c r="L58" s="387"/>
      <c r="M58" s="387"/>
    </row>
    <row r="59" spans="1:13">
      <c r="A59" s="434"/>
      <c r="B59" s="414"/>
      <c r="C59" s="435"/>
      <c r="D59" s="435"/>
      <c r="E59" s="435"/>
      <c r="F59" s="417"/>
      <c r="G59" s="417"/>
      <c r="H59" s="435"/>
      <c r="I59" s="418"/>
      <c r="J59" s="387" t="s">
        <v>96</v>
      </c>
      <c r="K59" s="387"/>
      <c r="L59" s="387"/>
      <c r="M59" s="387"/>
    </row>
    <row r="60" spans="1:13" ht="12">
      <c r="A60" s="399">
        <f>A58+1</f>
        <v>30</v>
      </c>
      <c r="B60" s="423" t="s">
        <v>336</v>
      </c>
      <c r="C60" s="387"/>
      <c r="D60" s="433"/>
      <c r="E60" s="433"/>
      <c r="F60" s="387"/>
      <c r="G60" s="387"/>
      <c r="H60" s="387"/>
      <c r="I60" s="432">
        <f>I56+I58</f>
        <v>79353.959999999992</v>
      </c>
      <c r="J60" s="387"/>
      <c r="K60" s="387"/>
      <c r="L60" s="387"/>
      <c r="M60" s="387"/>
    </row>
    <row r="61" spans="1:13">
      <c r="A61" s="399"/>
      <c r="B61" s="407"/>
      <c r="C61" s="387"/>
      <c r="D61" s="433"/>
      <c r="E61" s="433"/>
      <c r="F61" s="387"/>
      <c r="G61" s="387"/>
      <c r="H61" s="387"/>
      <c r="I61" s="418"/>
      <c r="J61" s="387"/>
      <c r="K61" s="387"/>
      <c r="L61" s="387"/>
      <c r="M61" s="387"/>
    </row>
    <row r="62" spans="1:13">
      <c r="A62" s="399">
        <f>A60+1</f>
        <v>31</v>
      </c>
      <c r="B62" s="407" t="s">
        <v>337</v>
      </c>
      <c r="C62" s="387"/>
      <c r="D62" s="433"/>
      <c r="E62" s="433"/>
      <c r="F62" s="387"/>
      <c r="G62" s="387"/>
      <c r="H62" s="387"/>
      <c r="I62" s="437">
        <v>0</v>
      </c>
      <c r="J62" s="387" t="s">
        <v>338</v>
      </c>
      <c r="K62" s="387"/>
      <c r="L62" s="387"/>
      <c r="M62" s="387"/>
    </row>
    <row r="63" spans="1:13">
      <c r="A63" s="399"/>
      <c r="B63" s="407" t="s">
        <v>96</v>
      </c>
      <c r="C63" s="387"/>
      <c r="D63" s="433"/>
      <c r="E63" s="433"/>
      <c r="F63" s="387"/>
      <c r="G63" s="387"/>
      <c r="H63" s="387"/>
      <c r="I63" s="418"/>
      <c r="J63" s="387"/>
      <c r="K63" s="387"/>
      <c r="L63" s="387"/>
      <c r="M63" s="387"/>
    </row>
    <row r="64" spans="1:13" ht="12">
      <c r="A64" s="399">
        <f>A62+1</f>
        <v>32</v>
      </c>
      <c r="B64" s="423" t="s">
        <v>339</v>
      </c>
      <c r="C64" s="425"/>
      <c r="D64" s="431"/>
      <c r="E64" s="431"/>
      <c r="F64" s="425"/>
      <c r="G64" s="425"/>
      <c r="H64" s="425"/>
      <c r="I64" s="438">
        <f>I60+I62</f>
        <v>79353.959999999992</v>
      </c>
      <c r="J64" s="387"/>
      <c r="K64" s="429">
        <f>+I64-79040</f>
        <v>313.95999999999185</v>
      </c>
      <c r="L64" s="387"/>
      <c r="M64" s="387"/>
    </row>
    <row r="65" spans="1:13">
      <c r="A65" s="399"/>
      <c r="B65" s="407"/>
      <c r="C65" s="387"/>
      <c r="D65" s="433"/>
      <c r="E65" s="433"/>
      <c r="F65" s="387"/>
      <c r="G65" s="387"/>
      <c r="H65" s="387"/>
      <c r="I65" s="418"/>
      <c r="J65" s="387"/>
      <c r="K65" s="387"/>
      <c r="L65" s="387"/>
      <c r="M65" s="387"/>
    </row>
    <row r="66" spans="1:13">
      <c r="A66" s="399"/>
      <c r="B66" s="407"/>
      <c r="C66" s="387"/>
      <c r="D66" s="433"/>
      <c r="E66" s="433"/>
      <c r="F66" s="387"/>
      <c r="G66" s="387"/>
      <c r="H66" s="387"/>
      <c r="I66" s="387"/>
      <c r="J66" s="387"/>
      <c r="K66" s="387"/>
      <c r="L66" s="387"/>
      <c r="M66" s="387"/>
    </row>
    <row r="67" spans="1:13">
      <c r="A67" s="399" t="s">
        <v>96</v>
      </c>
      <c r="B67" s="404" t="s">
        <v>340</v>
      </c>
      <c r="C67" s="409"/>
      <c r="D67" s="439" t="s">
        <v>341</v>
      </c>
      <c r="E67" s="439"/>
      <c r="F67" s="405" t="s">
        <v>266</v>
      </c>
      <c r="G67" s="440"/>
      <c r="H67" s="409"/>
      <c r="I67" s="441" t="s">
        <v>304</v>
      </c>
      <c r="J67" s="387"/>
      <c r="K67" s="387"/>
      <c r="L67" s="387"/>
      <c r="M67" s="387"/>
    </row>
    <row r="68" spans="1:13">
      <c r="A68" s="399" t="s">
        <v>96</v>
      </c>
      <c r="B68" s="407"/>
      <c r="C68" s="387"/>
      <c r="D68" s="433"/>
      <c r="E68" s="433"/>
      <c r="F68" s="408"/>
      <c r="G68" s="408"/>
      <c r="H68" s="387"/>
      <c r="I68" s="427"/>
      <c r="J68" s="387"/>
      <c r="K68" s="387"/>
      <c r="L68" s="387"/>
      <c r="M68" s="387"/>
    </row>
    <row r="69" spans="1:13">
      <c r="A69" s="399">
        <f>A64+1</f>
        <v>33</v>
      </c>
      <c r="B69" s="407" t="s">
        <v>342</v>
      </c>
      <c r="C69" s="387" t="s">
        <v>382</v>
      </c>
      <c r="D69" s="428">
        <f>ROUND(0.094*365/12,3)</f>
        <v>2.859</v>
      </c>
      <c r="E69" s="428"/>
      <c r="F69" s="421">
        <f>623961-311711-128316-64147</f>
        <v>119787</v>
      </c>
      <c r="G69" s="402"/>
      <c r="H69" s="387"/>
      <c r="I69" s="427">
        <f>ROUND(D69*$F69*12/1000,0)</f>
        <v>4110</v>
      </c>
      <c r="J69" s="387" t="s">
        <v>383</v>
      </c>
      <c r="K69" s="387" t="s">
        <v>345</v>
      </c>
      <c r="L69" s="421">
        <v>119787</v>
      </c>
      <c r="M69" s="387"/>
    </row>
    <row r="70" spans="1:13" ht="15" customHeight="1">
      <c r="A70" s="399">
        <f>A69+1</f>
        <v>34</v>
      </c>
      <c r="B70" s="407"/>
      <c r="C70" s="387" t="s">
        <v>384</v>
      </c>
      <c r="D70" s="428">
        <f>ROUND(0.079*365/12,3)</f>
        <v>2.403</v>
      </c>
      <c r="E70" s="428"/>
      <c r="F70" s="357">
        <v>71838</v>
      </c>
      <c r="G70" s="402"/>
      <c r="H70" s="420"/>
      <c r="I70" s="427">
        <f>ROUND(D70*$F70*12/1000,0)</f>
        <v>2072</v>
      </c>
      <c r="J70" s="387" t="s">
        <v>383</v>
      </c>
      <c r="K70" s="387" t="s">
        <v>347</v>
      </c>
      <c r="L70" s="413" t="s">
        <v>348</v>
      </c>
      <c r="M70" s="387"/>
    </row>
    <row r="71" spans="1:13">
      <c r="A71" s="399">
        <f>A70+1</f>
        <v>35</v>
      </c>
      <c r="B71" s="407"/>
      <c r="C71" s="407" t="s">
        <v>319</v>
      </c>
      <c r="D71" s="415"/>
      <c r="E71" s="415"/>
      <c r="F71" s="357"/>
      <c r="G71" s="387"/>
      <c r="H71" s="387"/>
      <c r="I71" s="430">
        <f>SUM(I69:I70)</f>
        <v>6182</v>
      </c>
      <c r="J71" s="387"/>
      <c r="K71" s="387"/>
      <c r="L71" s="387"/>
      <c r="M71" s="387"/>
    </row>
    <row r="72" spans="1:13">
      <c r="A72" s="399"/>
      <c r="B72" s="407"/>
      <c r="C72" s="407"/>
      <c r="D72" s="415"/>
      <c r="E72" s="415"/>
      <c r="F72" s="387"/>
      <c r="G72" s="387"/>
      <c r="H72" s="387"/>
      <c r="I72" s="418"/>
      <c r="J72" s="387"/>
      <c r="K72" s="387" t="s">
        <v>351</v>
      </c>
      <c r="L72" s="413" t="s">
        <v>352</v>
      </c>
      <c r="M72" s="387"/>
    </row>
    <row r="73" spans="1:13">
      <c r="A73" s="399">
        <f>A71+1</f>
        <v>36</v>
      </c>
      <c r="B73" s="407" t="s">
        <v>353</v>
      </c>
      <c r="C73" s="387" t="s">
        <v>354</v>
      </c>
      <c r="D73" s="428">
        <f>ROUND(0.1174*365/12,3)</f>
        <v>3.5710000000000002</v>
      </c>
      <c r="E73" s="415"/>
      <c r="F73" s="421">
        <f>128316+62695</f>
        <v>191011</v>
      </c>
      <c r="G73" s="402"/>
      <c r="H73" s="420"/>
      <c r="I73" s="427">
        <f>ROUND(D73*$F73*12/1000,0)</f>
        <v>8185</v>
      </c>
      <c r="J73" s="387" t="s">
        <v>355</v>
      </c>
      <c r="K73" s="387" t="s">
        <v>356</v>
      </c>
      <c r="L73" s="421">
        <v>62695</v>
      </c>
      <c r="M73" s="387"/>
    </row>
    <row r="74" spans="1:13" ht="12" hidden="1" customHeight="1" outlineLevel="1">
      <c r="A74" s="399"/>
      <c r="B74" s="407"/>
      <c r="C74" s="387"/>
      <c r="D74" s="428"/>
      <c r="E74" s="428"/>
      <c r="F74" s="402"/>
      <c r="G74" s="402"/>
      <c r="H74" s="387"/>
      <c r="I74" s="358"/>
      <c r="J74" s="387"/>
      <c r="K74" s="387"/>
      <c r="L74" s="387"/>
      <c r="M74" s="387"/>
    </row>
    <row r="75" spans="1:13" ht="12" hidden="1" customHeight="1" outlineLevel="1">
      <c r="A75" s="399">
        <f>A73+1</f>
        <v>37</v>
      </c>
      <c r="B75" s="407" t="s">
        <v>357</v>
      </c>
      <c r="C75" s="387" t="s">
        <v>358</v>
      </c>
      <c r="D75" s="428">
        <v>0.54500000000000004</v>
      </c>
      <c r="E75" s="428"/>
      <c r="F75" s="421">
        <v>0</v>
      </c>
      <c r="G75" s="359"/>
      <c r="H75" s="387"/>
      <c r="I75" s="418">
        <f>ROUND(D75*$F75*8/1000,0)</f>
        <v>0</v>
      </c>
      <c r="J75" s="387"/>
      <c r="K75" s="387"/>
      <c r="L75" s="387"/>
      <c r="M75" s="387"/>
    </row>
    <row r="76" spans="1:13" collapsed="1">
      <c r="A76" s="399"/>
      <c r="B76" s="407"/>
      <c r="C76" s="387"/>
      <c r="D76" s="428"/>
      <c r="E76" s="428"/>
      <c r="F76" s="359"/>
      <c r="G76" s="359"/>
      <c r="H76" s="387"/>
      <c r="I76" s="418"/>
      <c r="J76" s="387"/>
      <c r="K76" s="387"/>
      <c r="L76" s="387"/>
      <c r="M76" s="387"/>
    </row>
    <row r="77" spans="1:13">
      <c r="A77" s="399">
        <f>+A73+1</f>
        <v>37</v>
      </c>
      <c r="B77" s="407" t="s">
        <v>359</v>
      </c>
      <c r="C77" s="387" t="s">
        <v>360</v>
      </c>
      <c r="D77" s="428">
        <f>ROUND('TBO 2015'!D78*1.1,3)</f>
        <v>0.15</v>
      </c>
      <c r="E77" s="428"/>
      <c r="F77" s="421">
        <v>500000</v>
      </c>
      <c r="G77" s="359"/>
      <c r="H77" s="387"/>
      <c r="I77" s="418">
        <f>ROUND(D77*$F77*12/1000,0)</f>
        <v>900</v>
      </c>
      <c r="J77" s="387" t="s">
        <v>385</v>
      </c>
      <c r="K77" s="387" t="s">
        <v>362</v>
      </c>
      <c r="L77" s="421">
        <v>500000</v>
      </c>
      <c r="M77" s="387"/>
    </row>
    <row r="78" spans="1:13">
      <c r="A78" s="399"/>
      <c r="B78" s="407"/>
      <c r="C78" s="387"/>
      <c r="D78" s="428"/>
      <c r="E78" s="428"/>
      <c r="F78" s="421"/>
      <c r="G78" s="359"/>
      <c r="H78" s="387"/>
      <c r="I78" s="418"/>
      <c r="J78" s="387"/>
      <c r="K78" s="387"/>
      <c r="L78" s="387"/>
      <c r="M78" s="387"/>
    </row>
    <row r="79" spans="1:13">
      <c r="A79" s="399">
        <f>A77+1</f>
        <v>38</v>
      </c>
      <c r="B79" s="407" t="s">
        <v>363</v>
      </c>
      <c r="C79" s="387" t="s">
        <v>386</v>
      </c>
      <c r="D79" s="428">
        <f>ROUND(0.015*365/12,3)</f>
        <v>0.45600000000000002</v>
      </c>
      <c r="E79" s="428"/>
      <c r="F79" s="421">
        <f>88497+174752</f>
        <v>263249</v>
      </c>
      <c r="G79" s="359"/>
      <c r="H79" s="387"/>
      <c r="I79" s="418">
        <f>ROUND(D79*$F79*10/1000,0)</f>
        <v>1200</v>
      </c>
      <c r="J79" s="387" t="s">
        <v>365</v>
      </c>
      <c r="K79" s="387" t="s">
        <v>366</v>
      </c>
      <c r="L79" s="421">
        <v>88497</v>
      </c>
      <c r="M79" s="387"/>
    </row>
    <row r="80" spans="1:13">
      <c r="A80" s="399"/>
      <c r="B80" s="407"/>
      <c r="C80" s="387" t="s">
        <v>387</v>
      </c>
      <c r="D80" s="428">
        <f>ROUND(0.015*365/12,3)</f>
        <v>0.45600000000000002</v>
      </c>
      <c r="E80" s="428"/>
      <c r="F80" s="421">
        <f>88497+174752+135000</f>
        <v>398249</v>
      </c>
      <c r="G80" s="359"/>
      <c r="H80" s="387"/>
      <c r="I80" s="418">
        <f>ROUND(D80*$F80*2/1000,0)</f>
        <v>363</v>
      </c>
      <c r="J80" s="387"/>
      <c r="K80" s="387"/>
      <c r="L80" s="421"/>
      <c r="M80" s="387"/>
    </row>
    <row r="81" spans="1:13">
      <c r="A81" s="399"/>
      <c r="B81" s="407"/>
      <c r="C81" s="387"/>
      <c r="D81" s="428"/>
      <c r="E81" s="428"/>
      <c r="F81" s="402"/>
      <c r="G81" s="402"/>
      <c r="H81" s="387"/>
      <c r="I81" s="358"/>
      <c r="J81" s="387"/>
      <c r="K81" s="387" t="s">
        <v>367</v>
      </c>
      <c r="L81" s="421">
        <v>174752</v>
      </c>
      <c r="M81" s="387"/>
    </row>
    <row r="82" spans="1:13" ht="12">
      <c r="A82" s="399">
        <f>A79+1</f>
        <v>39</v>
      </c>
      <c r="B82" s="423" t="s">
        <v>319</v>
      </c>
      <c r="C82" s="387"/>
      <c r="D82" s="428"/>
      <c r="E82" s="428"/>
      <c r="F82" s="402"/>
      <c r="G82" s="402"/>
      <c r="H82" s="387"/>
      <c r="I82" s="442">
        <f>SUM(I71:I81)</f>
        <v>16830</v>
      </c>
      <c r="J82" s="387"/>
      <c r="K82" s="387"/>
      <c r="L82" s="387"/>
      <c r="M82" s="387"/>
    </row>
    <row r="83" spans="1:13">
      <c r="A83" s="399"/>
      <c r="B83" s="407"/>
      <c r="C83" s="387"/>
      <c r="D83" s="428"/>
      <c r="E83" s="428"/>
      <c r="F83" s="402"/>
      <c r="G83" s="402"/>
      <c r="H83" s="387"/>
      <c r="I83" s="418"/>
      <c r="J83" s="387"/>
      <c r="K83" s="387"/>
      <c r="L83" s="387"/>
      <c r="M83" s="387"/>
    </row>
    <row r="84" spans="1:13" ht="12" hidden="1" customHeight="1">
      <c r="A84" s="399">
        <f>A82+1</f>
        <v>40</v>
      </c>
      <c r="B84" s="407" t="s">
        <v>368</v>
      </c>
      <c r="C84" s="387"/>
      <c r="D84" s="428" t="s">
        <v>96</v>
      </c>
      <c r="E84" s="428"/>
      <c r="F84" s="402"/>
      <c r="G84" s="402"/>
      <c r="H84" s="387"/>
      <c r="I84" s="437">
        <v>0</v>
      </c>
      <c r="J84" s="387"/>
      <c r="K84" s="387"/>
      <c r="L84" s="387"/>
      <c r="M84" s="387"/>
    </row>
    <row r="85" spans="1:13" ht="12" hidden="1" customHeight="1">
      <c r="A85" s="399"/>
      <c r="B85" s="407"/>
      <c r="C85" s="387"/>
      <c r="D85" s="428"/>
      <c r="E85" s="428"/>
      <c r="F85" s="402"/>
      <c r="G85" s="402"/>
      <c r="H85" s="387"/>
      <c r="I85" s="418"/>
      <c r="J85" s="387"/>
      <c r="K85" s="387"/>
      <c r="L85" s="387"/>
      <c r="M85" s="387"/>
    </row>
    <row r="86" spans="1:13">
      <c r="A86" s="399">
        <f>+A84+1</f>
        <v>41</v>
      </c>
      <c r="B86" s="407" t="s">
        <v>369</v>
      </c>
      <c r="C86" s="387"/>
      <c r="D86" s="428"/>
      <c r="E86" s="428"/>
      <c r="F86" s="402"/>
      <c r="G86" s="402"/>
      <c r="H86" s="387"/>
      <c r="I86" s="360">
        <v>0</v>
      </c>
      <c r="J86" s="387"/>
      <c r="K86" s="387"/>
      <c r="L86" s="387"/>
      <c r="M86" s="387"/>
    </row>
    <row r="87" spans="1:13">
      <c r="A87" s="399"/>
      <c r="B87" s="407"/>
      <c r="C87" s="387"/>
      <c r="D87" s="428"/>
      <c r="E87" s="428"/>
      <c r="F87" s="402"/>
      <c r="G87" s="402"/>
      <c r="H87" s="387"/>
      <c r="I87" s="361"/>
      <c r="J87" s="387"/>
      <c r="K87" s="387"/>
      <c r="L87" s="387"/>
      <c r="M87" s="387"/>
    </row>
    <row r="88" spans="1:13" ht="12">
      <c r="A88" s="399">
        <f>A84+1</f>
        <v>41</v>
      </c>
      <c r="B88" s="423" t="s">
        <v>370</v>
      </c>
      <c r="C88" s="425"/>
      <c r="D88" s="443"/>
      <c r="E88" s="443"/>
      <c r="F88" s="444"/>
      <c r="G88" s="444"/>
      <c r="H88" s="425"/>
      <c r="I88" s="438">
        <f>SUM(I82:I86)</f>
        <v>16830</v>
      </c>
      <c r="J88" s="387"/>
      <c r="K88" s="387"/>
      <c r="L88" s="387"/>
      <c r="M88" s="387"/>
    </row>
    <row r="89" spans="1:13" ht="12">
      <c r="A89" s="399"/>
      <c r="B89" s="423"/>
      <c r="C89" s="425"/>
      <c r="D89" s="443"/>
      <c r="E89" s="443"/>
      <c r="F89" s="444"/>
      <c r="G89" s="444"/>
      <c r="H89" s="425"/>
      <c r="I89" s="432"/>
      <c r="J89" s="387"/>
      <c r="K89" s="387"/>
      <c r="L89" s="387"/>
      <c r="M89" s="387"/>
    </row>
    <row r="90" spans="1:13">
      <c r="A90" s="399"/>
      <c r="B90" s="407"/>
      <c r="C90" s="387"/>
      <c r="D90" s="428"/>
      <c r="E90" s="428"/>
      <c r="F90" s="402"/>
      <c r="G90" s="402"/>
      <c r="H90" s="387"/>
      <c r="I90" s="387"/>
      <c r="J90" s="387"/>
      <c r="K90" s="387"/>
      <c r="L90" s="387"/>
      <c r="M90" s="387"/>
    </row>
    <row r="91" spans="1:13">
      <c r="A91" s="399" t="s">
        <v>96</v>
      </c>
      <c r="B91" s="404" t="s">
        <v>371</v>
      </c>
      <c r="C91" s="409"/>
      <c r="D91" s="445"/>
      <c r="E91" s="445"/>
      <c r="F91" s="405"/>
      <c r="G91" s="446"/>
      <c r="H91" s="409"/>
      <c r="I91" s="411" t="s">
        <v>304</v>
      </c>
      <c r="J91" s="387"/>
      <c r="K91" s="387"/>
      <c r="L91" s="387"/>
      <c r="M91" s="387"/>
    </row>
    <row r="92" spans="1:13">
      <c r="A92" s="399"/>
      <c r="B92" s="414"/>
      <c r="C92" s="435"/>
      <c r="D92" s="447"/>
      <c r="E92" s="447"/>
      <c r="F92" s="446"/>
      <c r="G92" s="446"/>
      <c r="H92" s="387"/>
      <c r="I92" s="427"/>
      <c r="J92" s="387"/>
      <c r="K92" s="387"/>
      <c r="L92" s="387"/>
      <c r="M92" s="387"/>
    </row>
    <row r="93" spans="1:13" ht="12">
      <c r="A93" s="399">
        <f>A88+1</f>
        <v>42</v>
      </c>
      <c r="B93" s="423" t="s">
        <v>372</v>
      </c>
      <c r="C93" s="423"/>
      <c r="D93" s="362"/>
      <c r="E93" s="423"/>
      <c r="F93" s="444"/>
      <c r="G93" s="444"/>
      <c r="H93" s="425"/>
      <c r="I93" s="363">
        <f>87728-1230</f>
        <v>86498</v>
      </c>
      <c r="J93" s="387" t="s">
        <v>373</v>
      </c>
      <c r="K93" s="387"/>
      <c r="L93" s="387"/>
      <c r="M93" s="387"/>
    </row>
    <row r="94" spans="1:13">
      <c r="A94" s="399"/>
      <c r="B94" s="407"/>
      <c r="C94" s="387"/>
      <c r="D94" s="433"/>
      <c r="E94" s="433"/>
      <c r="F94" s="387"/>
      <c r="G94" s="387"/>
      <c r="H94" s="387"/>
      <c r="I94" s="418"/>
      <c r="J94" s="387" t="s">
        <v>388</v>
      </c>
      <c r="K94" s="387"/>
      <c r="L94" s="387"/>
      <c r="M94" s="387"/>
    </row>
    <row r="95" spans="1:13" ht="12">
      <c r="A95" s="399"/>
      <c r="B95" s="423"/>
      <c r="C95" s="423"/>
      <c r="D95" s="362"/>
      <c r="E95" s="423"/>
      <c r="F95" s="444"/>
      <c r="G95" s="444"/>
      <c r="H95" s="425"/>
      <c r="I95" s="362"/>
      <c r="J95" s="387" t="s">
        <v>389</v>
      </c>
      <c r="K95" s="387"/>
      <c r="L95" s="387"/>
      <c r="M95" s="387"/>
    </row>
    <row r="96" spans="1:13">
      <c r="A96" s="399" t="s">
        <v>96</v>
      </c>
      <c r="B96" s="404" t="s">
        <v>374</v>
      </c>
      <c r="C96" s="409"/>
      <c r="D96" s="439" t="s">
        <v>341</v>
      </c>
      <c r="E96" s="439"/>
      <c r="F96" s="405" t="s">
        <v>266</v>
      </c>
      <c r="G96" s="440"/>
      <c r="H96" s="409"/>
      <c r="I96" s="441" t="s">
        <v>304</v>
      </c>
      <c r="J96" s="387"/>
      <c r="K96" s="387"/>
      <c r="L96" s="387"/>
      <c r="M96" s="387"/>
    </row>
    <row r="97" spans="1:13">
      <c r="A97" s="399" t="s">
        <v>96</v>
      </c>
      <c r="B97" s="407"/>
      <c r="C97" s="387"/>
      <c r="D97" s="433"/>
      <c r="E97" s="433"/>
      <c r="F97" s="408"/>
      <c r="G97" s="408"/>
      <c r="H97" s="387"/>
      <c r="I97" s="427"/>
      <c r="J97" s="387"/>
      <c r="K97" s="387"/>
      <c r="L97" s="387"/>
      <c r="M97" s="387"/>
    </row>
    <row r="98" spans="1:13" ht="12">
      <c r="A98" s="399">
        <f>A93+1</f>
        <v>43</v>
      </c>
      <c r="B98" s="423" t="s">
        <v>374</v>
      </c>
      <c r="C98" s="423"/>
      <c r="D98" s="362"/>
      <c r="E98" s="423"/>
      <c r="F98" s="444"/>
      <c r="G98" s="444"/>
      <c r="H98" s="425"/>
      <c r="I98" s="363">
        <v>20148</v>
      </c>
      <c r="J98" s="387" t="s">
        <v>408</v>
      </c>
      <c r="K98" s="387"/>
      <c r="L98" s="387"/>
      <c r="M98" s="387"/>
    </row>
    <row r="99" spans="1:13" ht="12">
      <c r="A99" s="399"/>
      <c r="B99" s="423"/>
      <c r="C99" s="423"/>
      <c r="D99" s="362"/>
      <c r="E99" s="423"/>
      <c r="F99" s="444"/>
      <c r="G99" s="444"/>
      <c r="H99" s="425"/>
      <c r="I99" s="362"/>
      <c r="J99" s="387"/>
      <c r="K99" s="387"/>
      <c r="L99" s="387"/>
      <c r="M99" s="387"/>
    </row>
    <row r="100" spans="1:13">
      <c r="A100" s="434"/>
      <c r="B100" s="414"/>
      <c r="C100" s="435"/>
      <c r="D100" s="435"/>
      <c r="E100" s="435"/>
      <c r="F100" s="417"/>
      <c r="G100" s="417"/>
      <c r="H100" s="435"/>
      <c r="I100" s="418"/>
      <c r="J100" s="387"/>
      <c r="K100" s="387"/>
      <c r="L100" s="387"/>
      <c r="M100" s="387"/>
    </row>
    <row r="101" spans="1:13" ht="12.6" thickBot="1">
      <c r="A101" s="434">
        <f>A93+1</f>
        <v>43</v>
      </c>
      <c r="B101" s="423" t="s">
        <v>376</v>
      </c>
      <c r="C101" s="448"/>
      <c r="D101" s="448"/>
      <c r="E101" s="448"/>
      <c r="F101" s="449"/>
      <c r="G101" s="449"/>
      <c r="H101" s="448"/>
      <c r="I101" s="450">
        <f>I64+I88+I93+I98</f>
        <v>202829.96</v>
      </c>
      <c r="J101" s="387"/>
      <c r="K101" s="387"/>
      <c r="L101" s="387"/>
      <c r="M101" s="387"/>
    </row>
    <row r="102" spans="1:13" ht="12.6" thickTop="1">
      <c r="A102" s="434"/>
      <c r="B102" s="423"/>
      <c r="C102" s="448"/>
      <c r="D102" s="448"/>
      <c r="E102" s="448"/>
      <c r="F102" s="449"/>
      <c r="G102" s="449"/>
      <c r="H102" s="448"/>
      <c r="I102" s="432"/>
      <c r="J102" s="387"/>
      <c r="K102" s="387"/>
      <c r="L102" s="387"/>
      <c r="M102" s="387"/>
    </row>
    <row r="103" spans="1:13">
      <c r="A103" s="407" t="s">
        <v>377</v>
      </c>
      <c r="B103" s="451"/>
      <c r="C103" s="387"/>
      <c r="D103" s="387"/>
      <c r="E103" s="387"/>
      <c r="F103" s="387"/>
      <c r="G103" s="387"/>
      <c r="H103" s="387"/>
      <c r="I103" s="387"/>
      <c r="J103" s="387"/>
      <c r="K103" s="387"/>
      <c r="L103" s="387"/>
      <c r="M103" s="387"/>
    </row>
    <row r="104" spans="1:13">
      <c r="A104" s="452"/>
      <c r="B104" s="387"/>
      <c r="C104" s="387"/>
      <c r="D104" s="387"/>
      <c r="E104" s="387"/>
      <c r="F104" s="387"/>
      <c r="G104" s="387"/>
      <c r="H104" s="387"/>
      <c r="I104" s="387"/>
      <c r="J104" s="387"/>
      <c r="K104" s="387"/>
      <c r="L104" s="387"/>
      <c r="M104" s="387"/>
    </row>
  </sheetData>
  <printOptions horizontalCentered="1"/>
  <pageMargins left="0.79" right="0.63" top="0.68" bottom="0.65" header="0.5" footer="0.4"/>
  <pageSetup scale="5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221"/>
  <sheetViews>
    <sheetView view="pageBreakPreview" topLeftCell="A115" zoomScale="75" zoomScaleNormal="75" zoomScaleSheetLayoutView="75" workbookViewId="0">
      <selection activeCell="D129" sqref="D129"/>
    </sheetView>
  </sheetViews>
  <sheetFormatPr defaultRowHeight="13.8"/>
  <cols>
    <col min="1" max="1" width="10.5546875" style="13" bestFit="1" customWidth="1"/>
    <col min="2" max="2" width="44.109375" style="13" customWidth="1"/>
    <col min="3" max="3" width="14.6640625" style="13" customWidth="1"/>
    <col min="4" max="4" width="23.6640625" style="13" bestFit="1" customWidth="1"/>
    <col min="5" max="5" width="11.88671875" style="13" customWidth="1"/>
    <col min="6" max="6" width="20.6640625" style="13" customWidth="1"/>
    <col min="7" max="7" width="15.6640625" style="13" customWidth="1"/>
    <col min="8" max="9" width="16.109375" style="13" bestFit="1" customWidth="1"/>
    <col min="10" max="10" width="13.6640625" style="13" customWidth="1"/>
    <col min="11" max="11" width="12.6640625" style="13" bestFit="1" customWidth="1"/>
    <col min="12" max="12" width="15.5546875" style="13" customWidth="1"/>
    <col min="13" max="13" width="16.109375" style="13" bestFit="1" customWidth="1"/>
    <col min="14" max="14" width="13.33203125" style="13" bestFit="1" customWidth="1"/>
    <col min="15" max="15" width="16.33203125" style="13" bestFit="1" customWidth="1"/>
    <col min="16" max="16" width="9.33203125" style="13" bestFit="1" customWidth="1"/>
    <col min="17" max="17" width="13" style="13" bestFit="1" customWidth="1"/>
    <col min="18" max="18" width="20.109375" style="13" bestFit="1" customWidth="1"/>
    <col min="19" max="19" width="50.33203125" style="13" bestFit="1" customWidth="1"/>
    <col min="20" max="20" width="16.109375" style="13" bestFit="1" customWidth="1"/>
    <col min="21" max="21" width="12.33203125" style="13" customWidth="1"/>
    <col min="22" max="22" width="18.88671875" style="13" bestFit="1" customWidth="1"/>
    <col min="23" max="23" width="16.6640625" style="13" customWidth="1"/>
    <col min="24" max="24" width="19" style="13" bestFit="1" customWidth="1"/>
    <col min="25" max="25" width="9.109375" style="13"/>
    <col min="26" max="26" width="18.88671875" style="13" bestFit="1" customWidth="1"/>
    <col min="27" max="256" width="9.109375" style="13"/>
    <col min="257" max="257" width="10.5546875" style="13" bestFit="1" customWidth="1"/>
    <col min="258" max="258" width="44.109375" style="13" customWidth="1"/>
    <col min="259" max="259" width="14.6640625" style="13" customWidth="1"/>
    <col min="260" max="260" width="23.6640625" style="13" bestFit="1" customWidth="1"/>
    <col min="261" max="261" width="11.88671875" style="13" customWidth="1"/>
    <col min="262" max="262" width="20.6640625" style="13" customWidth="1"/>
    <col min="263" max="263" width="15.6640625" style="13" customWidth="1"/>
    <col min="264" max="265" width="16.109375" style="13" bestFit="1" customWidth="1"/>
    <col min="266" max="266" width="13.6640625" style="13" customWidth="1"/>
    <col min="267" max="267" width="12.6640625" style="13" bestFit="1" customWidth="1"/>
    <col min="268" max="268" width="15.5546875" style="13" customWidth="1"/>
    <col min="269" max="269" width="16.109375" style="13" bestFit="1" customWidth="1"/>
    <col min="270" max="270" width="13.33203125" style="13" bestFit="1" customWidth="1"/>
    <col min="271" max="271" width="16.33203125" style="13" bestFit="1" customWidth="1"/>
    <col min="272" max="272" width="9.33203125" style="13" bestFit="1" customWidth="1"/>
    <col min="273" max="273" width="13" style="13" bestFit="1" customWidth="1"/>
    <col min="274" max="274" width="20.109375" style="13" bestFit="1" customWidth="1"/>
    <col min="275" max="275" width="50.33203125" style="13" bestFit="1" customWidth="1"/>
    <col min="276" max="276" width="16.109375" style="13" bestFit="1" customWidth="1"/>
    <col min="277" max="277" width="12.33203125" style="13" customWidth="1"/>
    <col min="278" max="278" width="18.88671875" style="13" bestFit="1" customWidth="1"/>
    <col min="279" max="279" width="16.6640625" style="13" customWidth="1"/>
    <col min="280" max="280" width="19" style="13" bestFit="1" customWidth="1"/>
    <col min="281" max="281" width="9.109375" style="13"/>
    <col min="282" max="282" width="18.88671875" style="13" bestFit="1" customWidth="1"/>
    <col min="283" max="512" width="9.109375" style="13"/>
    <col min="513" max="513" width="10.5546875" style="13" bestFit="1" customWidth="1"/>
    <col min="514" max="514" width="44.109375" style="13" customWidth="1"/>
    <col min="515" max="515" width="14.6640625" style="13" customWidth="1"/>
    <col min="516" max="516" width="23.6640625" style="13" bestFit="1" customWidth="1"/>
    <col min="517" max="517" width="11.88671875" style="13" customWidth="1"/>
    <col min="518" max="518" width="20.6640625" style="13" customWidth="1"/>
    <col min="519" max="519" width="15.6640625" style="13" customWidth="1"/>
    <col min="520" max="521" width="16.109375" style="13" bestFit="1" customWidth="1"/>
    <col min="522" max="522" width="13.6640625" style="13" customWidth="1"/>
    <col min="523" max="523" width="12.6640625" style="13" bestFit="1" customWidth="1"/>
    <col min="524" max="524" width="15.5546875" style="13" customWidth="1"/>
    <col min="525" max="525" width="16.109375" style="13" bestFit="1" customWidth="1"/>
    <col min="526" max="526" width="13.33203125" style="13" bestFit="1" customWidth="1"/>
    <col min="527" max="527" width="16.33203125" style="13" bestFit="1" customWidth="1"/>
    <col min="528" max="528" width="9.33203125" style="13" bestFit="1" customWidth="1"/>
    <col min="529" max="529" width="13" style="13" bestFit="1" customWidth="1"/>
    <col min="530" max="530" width="20.109375" style="13" bestFit="1" customWidth="1"/>
    <col min="531" max="531" width="50.33203125" style="13" bestFit="1" customWidth="1"/>
    <col min="532" max="532" width="16.109375" style="13" bestFit="1" customWidth="1"/>
    <col min="533" max="533" width="12.33203125" style="13" customWidth="1"/>
    <col min="534" max="534" width="18.88671875" style="13" bestFit="1" customWidth="1"/>
    <col min="535" max="535" width="16.6640625" style="13" customWidth="1"/>
    <col min="536" max="536" width="19" style="13" bestFit="1" customWidth="1"/>
    <col min="537" max="537" width="9.109375" style="13"/>
    <col min="538" max="538" width="18.88671875" style="13" bestFit="1" customWidth="1"/>
    <col min="539" max="768" width="9.109375" style="13"/>
    <col min="769" max="769" width="10.5546875" style="13" bestFit="1" customWidth="1"/>
    <col min="770" max="770" width="44.109375" style="13" customWidth="1"/>
    <col min="771" max="771" width="14.6640625" style="13" customWidth="1"/>
    <col min="772" max="772" width="23.6640625" style="13" bestFit="1" customWidth="1"/>
    <col min="773" max="773" width="11.88671875" style="13" customWidth="1"/>
    <col min="774" max="774" width="20.6640625" style="13" customWidth="1"/>
    <col min="775" max="775" width="15.6640625" style="13" customWidth="1"/>
    <col min="776" max="777" width="16.109375" style="13" bestFit="1" customWidth="1"/>
    <col min="778" max="778" width="13.6640625" style="13" customWidth="1"/>
    <col min="779" max="779" width="12.6640625" style="13" bestFit="1" customWidth="1"/>
    <col min="780" max="780" width="15.5546875" style="13" customWidth="1"/>
    <col min="781" max="781" width="16.109375" style="13" bestFit="1" customWidth="1"/>
    <col min="782" max="782" width="13.33203125" style="13" bestFit="1" customWidth="1"/>
    <col min="783" max="783" width="16.33203125" style="13" bestFit="1" customWidth="1"/>
    <col min="784" max="784" width="9.33203125" style="13" bestFit="1" customWidth="1"/>
    <col min="785" max="785" width="13" style="13" bestFit="1" customWidth="1"/>
    <col min="786" max="786" width="20.109375" style="13" bestFit="1" customWidth="1"/>
    <col min="787" max="787" width="50.33203125" style="13" bestFit="1" customWidth="1"/>
    <col min="788" max="788" width="16.109375" style="13" bestFit="1" customWidth="1"/>
    <col min="789" max="789" width="12.33203125" style="13" customWidth="1"/>
    <col min="790" max="790" width="18.88671875" style="13" bestFit="1" customWidth="1"/>
    <col min="791" max="791" width="16.6640625" style="13" customWidth="1"/>
    <col min="792" max="792" width="19" style="13" bestFit="1" customWidth="1"/>
    <col min="793" max="793" width="9.109375" style="13"/>
    <col min="794" max="794" width="18.88671875" style="13" bestFit="1" customWidth="1"/>
    <col min="795" max="1024" width="9.109375" style="13"/>
    <col min="1025" max="1025" width="10.5546875" style="13" bestFit="1" customWidth="1"/>
    <col min="1026" max="1026" width="44.109375" style="13" customWidth="1"/>
    <col min="1027" max="1027" width="14.6640625" style="13" customWidth="1"/>
    <col min="1028" max="1028" width="23.6640625" style="13" bestFit="1" customWidth="1"/>
    <col min="1029" max="1029" width="11.88671875" style="13" customWidth="1"/>
    <col min="1030" max="1030" width="20.6640625" style="13" customWidth="1"/>
    <col min="1031" max="1031" width="15.6640625" style="13" customWidth="1"/>
    <col min="1032" max="1033" width="16.109375" style="13" bestFit="1" customWidth="1"/>
    <col min="1034" max="1034" width="13.6640625" style="13" customWidth="1"/>
    <col min="1035" max="1035" width="12.6640625" style="13" bestFit="1" customWidth="1"/>
    <col min="1036" max="1036" width="15.5546875" style="13" customWidth="1"/>
    <col min="1037" max="1037" width="16.109375" style="13" bestFit="1" customWidth="1"/>
    <col min="1038" max="1038" width="13.33203125" style="13" bestFit="1" customWidth="1"/>
    <col min="1039" max="1039" width="16.33203125" style="13" bestFit="1" customWidth="1"/>
    <col min="1040" max="1040" width="9.33203125" style="13" bestFit="1" customWidth="1"/>
    <col min="1041" max="1041" width="13" style="13" bestFit="1" customWidth="1"/>
    <col min="1042" max="1042" width="20.109375" style="13" bestFit="1" customWidth="1"/>
    <col min="1043" max="1043" width="50.33203125" style="13" bestFit="1" customWidth="1"/>
    <col min="1044" max="1044" width="16.109375" style="13" bestFit="1" customWidth="1"/>
    <col min="1045" max="1045" width="12.33203125" style="13" customWidth="1"/>
    <col min="1046" max="1046" width="18.88671875" style="13" bestFit="1" customWidth="1"/>
    <col min="1047" max="1047" width="16.6640625" style="13" customWidth="1"/>
    <col min="1048" max="1048" width="19" style="13" bestFit="1" customWidth="1"/>
    <col min="1049" max="1049" width="9.109375" style="13"/>
    <col min="1050" max="1050" width="18.88671875" style="13" bestFit="1" customWidth="1"/>
    <col min="1051" max="1280" width="9.109375" style="13"/>
    <col min="1281" max="1281" width="10.5546875" style="13" bestFit="1" customWidth="1"/>
    <col min="1282" max="1282" width="44.109375" style="13" customWidth="1"/>
    <col min="1283" max="1283" width="14.6640625" style="13" customWidth="1"/>
    <col min="1284" max="1284" width="23.6640625" style="13" bestFit="1" customWidth="1"/>
    <col min="1285" max="1285" width="11.88671875" style="13" customWidth="1"/>
    <col min="1286" max="1286" width="20.6640625" style="13" customWidth="1"/>
    <col min="1287" max="1287" width="15.6640625" style="13" customWidth="1"/>
    <col min="1288" max="1289" width="16.109375" style="13" bestFit="1" customWidth="1"/>
    <col min="1290" max="1290" width="13.6640625" style="13" customWidth="1"/>
    <col min="1291" max="1291" width="12.6640625" style="13" bestFit="1" customWidth="1"/>
    <col min="1292" max="1292" width="15.5546875" style="13" customWidth="1"/>
    <col min="1293" max="1293" width="16.109375" style="13" bestFit="1" customWidth="1"/>
    <col min="1294" max="1294" width="13.33203125" style="13" bestFit="1" customWidth="1"/>
    <col min="1295" max="1295" width="16.33203125" style="13" bestFit="1" customWidth="1"/>
    <col min="1296" max="1296" width="9.33203125" style="13" bestFit="1" customWidth="1"/>
    <col min="1297" max="1297" width="13" style="13" bestFit="1" customWidth="1"/>
    <col min="1298" max="1298" width="20.109375" style="13" bestFit="1" customWidth="1"/>
    <col min="1299" max="1299" width="50.33203125" style="13" bestFit="1" customWidth="1"/>
    <col min="1300" max="1300" width="16.109375" style="13" bestFit="1" customWidth="1"/>
    <col min="1301" max="1301" width="12.33203125" style="13" customWidth="1"/>
    <col min="1302" max="1302" width="18.88671875" style="13" bestFit="1" customWidth="1"/>
    <col min="1303" max="1303" width="16.6640625" style="13" customWidth="1"/>
    <col min="1304" max="1304" width="19" style="13" bestFit="1" customWidth="1"/>
    <col min="1305" max="1305" width="9.109375" style="13"/>
    <col min="1306" max="1306" width="18.88671875" style="13" bestFit="1" customWidth="1"/>
    <col min="1307" max="1536" width="9.109375" style="13"/>
    <col min="1537" max="1537" width="10.5546875" style="13" bestFit="1" customWidth="1"/>
    <col min="1538" max="1538" width="44.109375" style="13" customWidth="1"/>
    <col min="1539" max="1539" width="14.6640625" style="13" customWidth="1"/>
    <col min="1540" max="1540" width="23.6640625" style="13" bestFit="1" customWidth="1"/>
    <col min="1541" max="1541" width="11.88671875" style="13" customWidth="1"/>
    <col min="1542" max="1542" width="20.6640625" style="13" customWidth="1"/>
    <col min="1543" max="1543" width="15.6640625" style="13" customWidth="1"/>
    <col min="1544" max="1545" width="16.109375" style="13" bestFit="1" customWidth="1"/>
    <col min="1546" max="1546" width="13.6640625" style="13" customWidth="1"/>
    <col min="1547" max="1547" width="12.6640625" style="13" bestFit="1" customWidth="1"/>
    <col min="1548" max="1548" width="15.5546875" style="13" customWidth="1"/>
    <col min="1549" max="1549" width="16.109375" style="13" bestFit="1" customWidth="1"/>
    <col min="1550" max="1550" width="13.33203125" style="13" bestFit="1" customWidth="1"/>
    <col min="1551" max="1551" width="16.33203125" style="13" bestFit="1" customWidth="1"/>
    <col min="1552" max="1552" width="9.33203125" style="13" bestFit="1" customWidth="1"/>
    <col min="1553" max="1553" width="13" style="13" bestFit="1" customWidth="1"/>
    <col min="1554" max="1554" width="20.109375" style="13" bestFit="1" customWidth="1"/>
    <col min="1555" max="1555" width="50.33203125" style="13" bestFit="1" customWidth="1"/>
    <col min="1556" max="1556" width="16.109375" style="13" bestFit="1" customWidth="1"/>
    <col min="1557" max="1557" width="12.33203125" style="13" customWidth="1"/>
    <col min="1558" max="1558" width="18.88671875" style="13" bestFit="1" customWidth="1"/>
    <col min="1559" max="1559" width="16.6640625" style="13" customWidth="1"/>
    <col min="1560" max="1560" width="19" style="13" bestFit="1" customWidth="1"/>
    <col min="1561" max="1561" width="9.109375" style="13"/>
    <col min="1562" max="1562" width="18.88671875" style="13" bestFit="1" customWidth="1"/>
    <col min="1563" max="1792" width="9.109375" style="13"/>
    <col min="1793" max="1793" width="10.5546875" style="13" bestFit="1" customWidth="1"/>
    <col min="1794" max="1794" width="44.109375" style="13" customWidth="1"/>
    <col min="1795" max="1795" width="14.6640625" style="13" customWidth="1"/>
    <col min="1796" max="1796" width="23.6640625" style="13" bestFit="1" customWidth="1"/>
    <col min="1797" max="1797" width="11.88671875" style="13" customWidth="1"/>
    <col min="1798" max="1798" width="20.6640625" style="13" customWidth="1"/>
    <col min="1799" max="1799" width="15.6640625" style="13" customWidth="1"/>
    <col min="1800" max="1801" width="16.109375" style="13" bestFit="1" customWidth="1"/>
    <col min="1802" max="1802" width="13.6640625" style="13" customWidth="1"/>
    <col min="1803" max="1803" width="12.6640625" style="13" bestFit="1" customWidth="1"/>
    <col min="1804" max="1804" width="15.5546875" style="13" customWidth="1"/>
    <col min="1805" max="1805" width="16.109375" style="13" bestFit="1" customWidth="1"/>
    <col min="1806" max="1806" width="13.33203125" style="13" bestFit="1" customWidth="1"/>
    <col min="1807" max="1807" width="16.33203125" style="13" bestFit="1" customWidth="1"/>
    <col min="1808" max="1808" width="9.33203125" style="13" bestFit="1" customWidth="1"/>
    <col min="1809" max="1809" width="13" style="13" bestFit="1" customWidth="1"/>
    <col min="1810" max="1810" width="20.109375" style="13" bestFit="1" customWidth="1"/>
    <col min="1811" max="1811" width="50.33203125" style="13" bestFit="1" customWidth="1"/>
    <col min="1812" max="1812" width="16.109375" style="13" bestFit="1" customWidth="1"/>
    <col min="1813" max="1813" width="12.33203125" style="13" customWidth="1"/>
    <col min="1814" max="1814" width="18.88671875" style="13" bestFit="1" customWidth="1"/>
    <col min="1815" max="1815" width="16.6640625" style="13" customWidth="1"/>
    <col min="1816" max="1816" width="19" style="13" bestFit="1" customWidth="1"/>
    <col min="1817" max="1817" width="9.109375" style="13"/>
    <col min="1818" max="1818" width="18.88671875" style="13" bestFit="1" customWidth="1"/>
    <col min="1819" max="2048" width="9.109375" style="13"/>
    <col min="2049" max="2049" width="10.5546875" style="13" bestFit="1" customWidth="1"/>
    <col min="2050" max="2050" width="44.109375" style="13" customWidth="1"/>
    <col min="2051" max="2051" width="14.6640625" style="13" customWidth="1"/>
    <col min="2052" max="2052" width="23.6640625" style="13" bestFit="1" customWidth="1"/>
    <col min="2053" max="2053" width="11.88671875" style="13" customWidth="1"/>
    <col min="2054" max="2054" width="20.6640625" style="13" customWidth="1"/>
    <col min="2055" max="2055" width="15.6640625" style="13" customWidth="1"/>
    <col min="2056" max="2057" width="16.109375" style="13" bestFit="1" customWidth="1"/>
    <col min="2058" max="2058" width="13.6640625" style="13" customWidth="1"/>
    <col min="2059" max="2059" width="12.6640625" style="13" bestFit="1" customWidth="1"/>
    <col min="2060" max="2060" width="15.5546875" style="13" customWidth="1"/>
    <col min="2061" max="2061" width="16.109375" style="13" bestFit="1" customWidth="1"/>
    <col min="2062" max="2062" width="13.33203125" style="13" bestFit="1" customWidth="1"/>
    <col min="2063" max="2063" width="16.33203125" style="13" bestFit="1" customWidth="1"/>
    <col min="2064" max="2064" width="9.33203125" style="13" bestFit="1" customWidth="1"/>
    <col min="2065" max="2065" width="13" style="13" bestFit="1" customWidth="1"/>
    <col min="2066" max="2066" width="20.109375" style="13" bestFit="1" customWidth="1"/>
    <col min="2067" max="2067" width="50.33203125" style="13" bestFit="1" customWidth="1"/>
    <col min="2068" max="2068" width="16.109375" style="13" bestFit="1" customWidth="1"/>
    <col min="2069" max="2069" width="12.33203125" style="13" customWidth="1"/>
    <col min="2070" max="2070" width="18.88671875" style="13" bestFit="1" customWidth="1"/>
    <col min="2071" max="2071" width="16.6640625" style="13" customWidth="1"/>
    <col min="2072" max="2072" width="19" style="13" bestFit="1" customWidth="1"/>
    <col min="2073" max="2073" width="9.109375" style="13"/>
    <col min="2074" max="2074" width="18.88671875" style="13" bestFit="1" customWidth="1"/>
    <col min="2075" max="2304" width="9.109375" style="13"/>
    <col min="2305" max="2305" width="10.5546875" style="13" bestFit="1" customWidth="1"/>
    <col min="2306" max="2306" width="44.109375" style="13" customWidth="1"/>
    <col min="2307" max="2307" width="14.6640625" style="13" customWidth="1"/>
    <col min="2308" max="2308" width="23.6640625" style="13" bestFit="1" customWidth="1"/>
    <col min="2309" max="2309" width="11.88671875" style="13" customWidth="1"/>
    <col min="2310" max="2310" width="20.6640625" style="13" customWidth="1"/>
    <col min="2311" max="2311" width="15.6640625" style="13" customWidth="1"/>
    <col min="2312" max="2313" width="16.109375" style="13" bestFit="1" customWidth="1"/>
    <col min="2314" max="2314" width="13.6640625" style="13" customWidth="1"/>
    <col min="2315" max="2315" width="12.6640625" style="13" bestFit="1" customWidth="1"/>
    <col min="2316" max="2316" width="15.5546875" style="13" customWidth="1"/>
    <col min="2317" max="2317" width="16.109375" style="13" bestFit="1" customWidth="1"/>
    <col min="2318" max="2318" width="13.33203125" style="13" bestFit="1" customWidth="1"/>
    <col min="2319" max="2319" width="16.33203125" style="13" bestFit="1" customWidth="1"/>
    <col min="2320" max="2320" width="9.33203125" style="13" bestFit="1" customWidth="1"/>
    <col min="2321" max="2321" width="13" style="13" bestFit="1" customWidth="1"/>
    <col min="2322" max="2322" width="20.109375" style="13" bestFit="1" customWidth="1"/>
    <col min="2323" max="2323" width="50.33203125" style="13" bestFit="1" customWidth="1"/>
    <col min="2324" max="2324" width="16.109375" style="13" bestFit="1" customWidth="1"/>
    <col min="2325" max="2325" width="12.33203125" style="13" customWidth="1"/>
    <col min="2326" max="2326" width="18.88671875" style="13" bestFit="1" customWidth="1"/>
    <col min="2327" max="2327" width="16.6640625" style="13" customWidth="1"/>
    <col min="2328" max="2328" width="19" style="13" bestFit="1" customWidth="1"/>
    <col min="2329" max="2329" width="9.109375" style="13"/>
    <col min="2330" max="2330" width="18.88671875" style="13" bestFit="1" customWidth="1"/>
    <col min="2331" max="2560" width="9.109375" style="13"/>
    <col min="2561" max="2561" width="10.5546875" style="13" bestFit="1" customWidth="1"/>
    <col min="2562" max="2562" width="44.109375" style="13" customWidth="1"/>
    <col min="2563" max="2563" width="14.6640625" style="13" customWidth="1"/>
    <col min="2564" max="2564" width="23.6640625" style="13" bestFit="1" customWidth="1"/>
    <col min="2565" max="2565" width="11.88671875" style="13" customWidth="1"/>
    <col min="2566" max="2566" width="20.6640625" style="13" customWidth="1"/>
    <col min="2567" max="2567" width="15.6640625" style="13" customWidth="1"/>
    <col min="2568" max="2569" width="16.109375" style="13" bestFit="1" customWidth="1"/>
    <col min="2570" max="2570" width="13.6640625" style="13" customWidth="1"/>
    <col min="2571" max="2571" width="12.6640625" style="13" bestFit="1" customWidth="1"/>
    <col min="2572" max="2572" width="15.5546875" style="13" customWidth="1"/>
    <col min="2573" max="2573" width="16.109375" style="13" bestFit="1" customWidth="1"/>
    <col min="2574" max="2574" width="13.33203125" style="13" bestFit="1" customWidth="1"/>
    <col min="2575" max="2575" width="16.33203125" style="13" bestFit="1" customWidth="1"/>
    <col min="2576" max="2576" width="9.33203125" style="13" bestFit="1" customWidth="1"/>
    <col min="2577" max="2577" width="13" style="13" bestFit="1" customWidth="1"/>
    <col min="2578" max="2578" width="20.109375" style="13" bestFit="1" customWidth="1"/>
    <col min="2579" max="2579" width="50.33203125" style="13" bestFit="1" customWidth="1"/>
    <col min="2580" max="2580" width="16.109375" style="13" bestFit="1" customWidth="1"/>
    <col min="2581" max="2581" width="12.33203125" style="13" customWidth="1"/>
    <col min="2582" max="2582" width="18.88671875" style="13" bestFit="1" customWidth="1"/>
    <col min="2583" max="2583" width="16.6640625" style="13" customWidth="1"/>
    <col min="2584" max="2584" width="19" style="13" bestFit="1" customWidth="1"/>
    <col min="2585" max="2585" width="9.109375" style="13"/>
    <col min="2586" max="2586" width="18.88671875" style="13" bestFit="1" customWidth="1"/>
    <col min="2587" max="2816" width="9.109375" style="13"/>
    <col min="2817" max="2817" width="10.5546875" style="13" bestFit="1" customWidth="1"/>
    <col min="2818" max="2818" width="44.109375" style="13" customWidth="1"/>
    <col min="2819" max="2819" width="14.6640625" style="13" customWidth="1"/>
    <col min="2820" max="2820" width="23.6640625" style="13" bestFit="1" customWidth="1"/>
    <col min="2821" max="2821" width="11.88671875" style="13" customWidth="1"/>
    <col min="2822" max="2822" width="20.6640625" style="13" customWidth="1"/>
    <col min="2823" max="2823" width="15.6640625" style="13" customWidth="1"/>
    <col min="2824" max="2825" width="16.109375" style="13" bestFit="1" customWidth="1"/>
    <col min="2826" max="2826" width="13.6640625" style="13" customWidth="1"/>
    <col min="2827" max="2827" width="12.6640625" style="13" bestFit="1" customWidth="1"/>
    <col min="2828" max="2828" width="15.5546875" style="13" customWidth="1"/>
    <col min="2829" max="2829" width="16.109375" style="13" bestFit="1" customWidth="1"/>
    <col min="2830" max="2830" width="13.33203125" style="13" bestFit="1" customWidth="1"/>
    <col min="2831" max="2831" width="16.33203125" style="13" bestFit="1" customWidth="1"/>
    <col min="2832" max="2832" width="9.33203125" style="13" bestFit="1" customWidth="1"/>
    <col min="2833" max="2833" width="13" style="13" bestFit="1" customWidth="1"/>
    <col min="2834" max="2834" width="20.109375" style="13" bestFit="1" customWidth="1"/>
    <col min="2835" max="2835" width="50.33203125" style="13" bestFit="1" customWidth="1"/>
    <col min="2836" max="2836" width="16.109375" style="13" bestFit="1" customWidth="1"/>
    <col min="2837" max="2837" width="12.33203125" style="13" customWidth="1"/>
    <col min="2838" max="2838" width="18.88671875" style="13" bestFit="1" customWidth="1"/>
    <col min="2839" max="2839" width="16.6640625" style="13" customWidth="1"/>
    <col min="2840" max="2840" width="19" style="13" bestFit="1" customWidth="1"/>
    <col min="2841" max="2841" width="9.109375" style="13"/>
    <col min="2842" max="2842" width="18.88671875" style="13" bestFit="1" customWidth="1"/>
    <col min="2843" max="3072" width="9.109375" style="13"/>
    <col min="3073" max="3073" width="10.5546875" style="13" bestFit="1" customWidth="1"/>
    <col min="3074" max="3074" width="44.109375" style="13" customWidth="1"/>
    <col min="3075" max="3075" width="14.6640625" style="13" customWidth="1"/>
    <col min="3076" max="3076" width="23.6640625" style="13" bestFit="1" customWidth="1"/>
    <col min="3077" max="3077" width="11.88671875" style="13" customWidth="1"/>
    <col min="3078" max="3078" width="20.6640625" style="13" customWidth="1"/>
    <col min="3079" max="3079" width="15.6640625" style="13" customWidth="1"/>
    <col min="3080" max="3081" width="16.109375" style="13" bestFit="1" customWidth="1"/>
    <col min="3082" max="3082" width="13.6640625" style="13" customWidth="1"/>
    <col min="3083" max="3083" width="12.6640625" style="13" bestFit="1" customWidth="1"/>
    <col min="3084" max="3084" width="15.5546875" style="13" customWidth="1"/>
    <col min="3085" max="3085" width="16.109375" style="13" bestFit="1" customWidth="1"/>
    <col min="3086" max="3086" width="13.33203125" style="13" bestFit="1" customWidth="1"/>
    <col min="3087" max="3087" width="16.33203125" style="13" bestFit="1" customWidth="1"/>
    <col min="3088" max="3088" width="9.33203125" style="13" bestFit="1" customWidth="1"/>
    <col min="3089" max="3089" width="13" style="13" bestFit="1" customWidth="1"/>
    <col min="3090" max="3090" width="20.109375" style="13" bestFit="1" customWidth="1"/>
    <col min="3091" max="3091" width="50.33203125" style="13" bestFit="1" customWidth="1"/>
    <col min="3092" max="3092" width="16.109375" style="13" bestFit="1" customWidth="1"/>
    <col min="3093" max="3093" width="12.33203125" style="13" customWidth="1"/>
    <col min="3094" max="3094" width="18.88671875" style="13" bestFit="1" customWidth="1"/>
    <col min="3095" max="3095" width="16.6640625" style="13" customWidth="1"/>
    <col min="3096" max="3096" width="19" style="13" bestFit="1" customWidth="1"/>
    <col min="3097" max="3097" width="9.109375" style="13"/>
    <col min="3098" max="3098" width="18.88671875" style="13" bestFit="1" customWidth="1"/>
    <col min="3099" max="3328" width="9.109375" style="13"/>
    <col min="3329" max="3329" width="10.5546875" style="13" bestFit="1" customWidth="1"/>
    <col min="3330" max="3330" width="44.109375" style="13" customWidth="1"/>
    <col min="3331" max="3331" width="14.6640625" style="13" customWidth="1"/>
    <col min="3332" max="3332" width="23.6640625" style="13" bestFit="1" customWidth="1"/>
    <col min="3333" max="3333" width="11.88671875" style="13" customWidth="1"/>
    <col min="3334" max="3334" width="20.6640625" style="13" customWidth="1"/>
    <col min="3335" max="3335" width="15.6640625" style="13" customWidth="1"/>
    <col min="3336" max="3337" width="16.109375" style="13" bestFit="1" customWidth="1"/>
    <col min="3338" max="3338" width="13.6640625" style="13" customWidth="1"/>
    <col min="3339" max="3339" width="12.6640625" style="13" bestFit="1" customWidth="1"/>
    <col min="3340" max="3340" width="15.5546875" style="13" customWidth="1"/>
    <col min="3341" max="3341" width="16.109375" style="13" bestFit="1" customWidth="1"/>
    <col min="3342" max="3342" width="13.33203125" style="13" bestFit="1" customWidth="1"/>
    <col min="3343" max="3343" width="16.33203125" style="13" bestFit="1" customWidth="1"/>
    <col min="3344" max="3344" width="9.33203125" style="13" bestFit="1" customWidth="1"/>
    <col min="3345" max="3345" width="13" style="13" bestFit="1" customWidth="1"/>
    <col min="3346" max="3346" width="20.109375" style="13" bestFit="1" customWidth="1"/>
    <col min="3347" max="3347" width="50.33203125" style="13" bestFit="1" customWidth="1"/>
    <col min="3348" max="3348" width="16.109375" style="13" bestFit="1" customWidth="1"/>
    <col min="3349" max="3349" width="12.33203125" style="13" customWidth="1"/>
    <col min="3350" max="3350" width="18.88671875" style="13" bestFit="1" customWidth="1"/>
    <col min="3351" max="3351" width="16.6640625" style="13" customWidth="1"/>
    <col min="3352" max="3352" width="19" style="13" bestFit="1" customWidth="1"/>
    <col min="3353" max="3353" width="9.109375" style="13"/>
    <col min="3354" max="3354" width="18.88671875" style="13" bestFit="1" customWidth="1"/>
    <col min="3355" max="3584" width="9.109375" style="13"/>
    <col min="3585" max="3585" width="10.5546875" style="13" bestFit="1" customWidth="1"/>
    <col min="3586" max="3586" width="44.109375" style="13" customWidth="1"/>
    <col min="3587" max="3587" width="14.6640625" style="13" customWidth="1"/>
    <col min="3588" max="3588" width="23.6640625" style="13" bestFit="1" customWidth="1"/>
    <col min="3589" max="3589" width="11.88671875" style="13" customWidth="1"/>
    <col min="3590" max="3590" width="20.6640625" style="13" customWidth="1"/>
    <col min="3591" max="3591" width="15.6640625" style="13" customWidth="1"/>
    <col min="3592" max="3593" width="16.109375" style="13" bestFit="1" customWidth="1"/>
    <col min="3594" max="3594" width="13.6640625" style="13" customWidth="1"/>
    <col min="3595" max="3595" width="12.6640625" style="13" bestFit="1" customWidth="1"/>
    <col min="3596" max="3596" width="15.5546875" style="13" customWidth="1"/>
    <col min="3597" max="3597" width="16.109375" style="13" bestFit="1" customWidth="1"/>
    <col min="3598" max="3598" width="13.33203125" style="13" bestFit="1" customWidth="1"/>
    <col min="3599" max="3599" width="16.33203125" style="13" bestFit="1" customWidth="1"/>
    <col min="3600" max="3600" width="9.33203125" style="13" bestFit="1" customWidth="1"/>
    <col min="3601" max="3601" width="13" style="13" bestFit="1" customWidth="1"/>
    <col min="3602" max="3602" width="20.109375" style="13" bestFit="1" customWidth="1"/>
    <col min="3603" max="3603" width="50.33203125" style="13" bestFit="1" customWidth="1"/>
    <col min="3604" max="3604" width="16.109375" style="13" bestFit="1" customWidth="1"/>
    <col min="3605" max="3605" width="12.33203125" style="13" customWidth="1"/>
    <col min="3606" max="3606" width="18.88671875" style="13" bestFit="1" customWidth="1"/>
    <col min="3607" max="3607" width="16.6640625" style="13" customWidth="1"/>
    <col min="3608" max="3608" width="19" style="13" bestFit="1" customWidth="1"/>
    <col min="3609" max="3609" width="9.109375" style="13"/>
    <col min="3610" max="3610" width="18.88671875" style="13" bestFit="1" customWidth="1"/>
    <col min="3611" max="3840" width="9.109375" style="13"/>
    <col min="3841" max="3841" width="10.5546875" style="13" bestFit="1" customWidth="1"/>
    <col min="3842" max="3842" width="44.109375" style="13" customWidth="1"/>
    <col min="3843" max="3843" width="14.6640625" style="13" customWidth="1"/>
    <col min="3844" max="3844" width="23.6640625" style="13" bestFit="1" customWidth="1"/>
    <col min="3845" max="3845" width="11.88671875" style="13" customWidth="1"/>
    <col min="3846" max="3846" width="20.6640625" style="13" customWidth="1"/>
    <col min="3847" max="3847" width="15.6640625" style="13" customWidth="1"/>
    <col min="3848" max="3849" width="16.109375" style="13" bestFit="1" customWidth="1"/>
    <col min="3850" max="3850" width="13.6640625" style="13" customWidth="1"/>
    <col min="3851" max="3851" width="12.6640625" style="13" bestFit="1" customWidth="1"/>
    <col min="3852" max="3852" width="15.5546875" style="13" customWidth="1"/>
    <col min="3853" max="3853" width="16.109375" style="13" bestFit="1" customWidth="1"/>
    <col min="3854" max="3854" width="13.33203125" style="13" bestFit="1" customWidth="1"/>
    <col min="3855" max="3855" width="16.33203125" style="13" bestFit="1" customWidth="1"/>
    <col min="3856" max="3856" width="9.33203125" style="13" bestFit="1" customWidth="1"/>
    <col min="3857" max="3857" width="13" style="13" bestFit="1" customWidth="1"/>
    <col min="3858" max="3858" width="20.109375" style="13" bestFit="1" customWidth="1"/>
    <col min="3859" max="3859" width="50.33203125" style="13" bestFit="1" customWidth="1"/>
    <col min="3860" max="3860" width="16.109375" style="13" bestFit="1" customWidth="1"/>
    <col min="3861" max="3861" width="12.33203125" style="13" customWidth="1"/>
    <col min="3862" max="3862" width="18.88671875" style="13" bestFit="1" customWidth="1"/>
    <col min="3863" max="3863" width="16.6640625" style="13" customWidth="1"/>
    <col min="3864" max="3864" width="19" style="13" bestFit="1" customWidth="1"/>
    <col min="3865" max="3865" width="9.109375" style="13"/>
    <col min="3866" max="3866" width="18.88671875" style="13" bestFit="1" customWidth="1"/>
    <col min="3867" max="4096" width="9.109375" style="13"/>
    <col min="4097" max="4097" width="10.5546875" style="13" bestFit="1" customWidth="1"/>
    <col min="4098" max="4098" width="44.109375" style="13" customWidth="1"/>
    <col min="4099" max="4099" width="14.6640625" style="13" customWidth="1"/>
    <col min="4100" max="4100" width="23.6640625" style="13" bestFit="1" customWidth="1"/>
    <col min="4101" max="4101" width="11.88671875" style="13" customWidth="1"/>
    <col min="4102" max="4102" width="20.6640625" style="13" customWidth="1"/>
    <col min="4103" max="4103" width="15.6640625" style="13" customWidth="1"/>
    <col min="4104" max="4105" width="16.109375" style="13" bestFit="1" customWidth="1"/>
    <col min="4106" max="4106" width="13.6640625" style="13" customWidth="1"/>
    <col min="4107" max="4107" width="12.6640625" style="13" bestFit="1" customWidth="1"/>
    <col min="4108" max="4108" width="15.5546875" style="13" customWidth="1"/>
    <col min="4109" max="4109" width="16.109375" style="13" bestFit="1" customWidth="1"/>
    <col min="4110" max="4110" width="13.33203125" style="13" bestFit="1" customWidth="1"/>
    <col min="4111" max="4111" width="16.33203125" style="13" bestFit="1" customWidth="1"/>
    <col min="4112" max="4112" width="9.33203125" style="13" bestFit="1" customWidth="1"/>
    <col min="4113" max="4113" width="13" style="13" bestFit="1" customWidth="1"/>
    <col min="4114" max="4114" width="20.109375" style="13" bestFit="1" customWidth="1"/>
    <col min="4115" max="4115" width="50.33203125" style="13" bestFit="1" customWidth="1"/>
    <col min="4116" max="4116" width="16.109375" style="13" bestFit="1" customWidth="1"/>
    <col min="4117" max="4117" width="12.33203125" style="13" customWidth="1"/>
    <col min="4118" max="4118" width="18.88671875" style="13" bestFit="1" customWidth="1"/>
    <col min="4119" max="4119" width="16.6640625" style="13" customWidth="1"/>
    <col min="4120" max="4120" width="19" style="13" bestFit="1" customWidth="1"/>
    <col min="4121" max="4121" width="9.109375" style="13"/>
    <col min="4122" max="4122" width="18.88671875" style="13" bestFit="1" customWidth="1"/>
    <col min="4123" max="4352" width="9.109375" style="13"/>
    <col min="4353" max="4353" width="10.5546875" style="13" bestFit="1" customWidth="1"/>
    <col min="4354" max="4354" width="44.109375" style="13" customWidth="1"/>
    <col min="4355" max="4355" width="14.6640625" style="13" customWidth="1"/>
    <col min="4356" max="4356" width="23.6640625" style="13" bestFit="1" customWidth="1"/>
    <col min="4357" max="4357" width="11.88671875" style="13" customWidth="1"/>
    <col min="4358" max="4358" width="20.6640625" style="13" customWidth="1"/>
    <col min="4359" max="4359" width="15.6640625" style="13" customWidth="1"/>
    <col min="4360" max="4361" width="16.109375" style="13" bestFit="1" customWidth="1"/>
    <col min="4362" max="4362" width="13.6640625" style="13" customWidth="1"/>
    <col min="4363" max="4363" width="12.6640625" style="13" bestFit="1" customWidth="1"/>
    <col min="4364" max="4364" width="15.5546875" style="13" customWidth="1"/>
    <col min="4365" max="4365" width="16.109375" style="13" bestFit="1" customWidth="1"/>
    <col min="4366" max="4366" width="13.33203125" style="13" bestFit="1" customWidth="1"/>
    <col min="4367" max="4367" width="16.33203125" style="13" bestFit="1" customWidth="1"/>
    <col min="4368" max="4368" width="9.33203125" style="13" bestFit="1" customWidth="1"/>
    <col min="4369" max="4369" width="13" style="13" bestFit="1" customWidth="1"/>
    <col min="4370" max="4370" width="20.109375" style="13" bestFit="1" customWidth="1"/>
    <col min="4371" max="4371" width="50.33203125" style="13" bestFit="1" customWidth="1"/>
    <col min="4372" max="4372" width="16.109375" style="13" bestFit="1" customWidth="1"/>
    <col min="4373" max="4373" width="12.33203125" style="13" customWidth="1"/>
    <col min="4374" max="4374" width="18.88671875" style="13" bestFit="1" customWidth="1"/>
    <col min="4375" max="4375" width="16.6640625" style="13" customWidth="1"/>
    <col min="4376" max="4376" width="19" style="13" bestFit="1" customWidth="1"/>
    <col min="4377" max="4377" width="9.109375" style="13"/>
    <col min="4378" max="4378" width="18.88671875" style="13" bestFit="1" customWidth="1"/>
    <col min="4379" max="4608" width="9.109375" style="13"/>
    <col min="4609" max="4609" width="10.5546875" style="13" bestFit="1" customWidth="1"/>
    <col min="4610" max="4610" width="44.109375" style="13" customWidth="1"/>
    <col min="4611" max="4611" width="14.6640625" style="13" customWidth="1"/>
    <col min="4612" max="4612" width="23.6640625" style="13" bestFit="1" customWidth="1"/>
    <col min="4613" max="4613" width="11.88671875" style="13" customWidth="1"/>
    <col min="4614" max="4614" width="20.6640625" style="13" customWidth="1"/>
    <col min="4615" max="4615" width="15.6640625" style="13" customWidth="1"/>
    <col min="4616" max="4617" width="16.109375" style="13" bestFit="1" customWidth="1"/>
    <col min="4618" max="4618" width="13.6640625" style="13" customWidth="1"/>
    <col min="4619" max="4619" width="12.6640625" style="13" bestFit="1" customWidth="1"/>
    <col min="4620" max="4620" width="15.5546875" style="13" customWidth="1"/>
    <col min="4621" max="4621" width="16.109375" style="13" bestFit="1" customWidth="1"/>
    <col min="4622" max="4622" width="13.33203125" style="13" bestFit="1" customWidth="1"/>
    <col min="4623" max="4623" width="16.33203125" style="13" bestFit="1" customWidth="1"/>
    <col min="4624" max="4624" width="9.33203125" style="13" bestFit="1" customWidth="1"/>
    <col min="4625" max="4625" width="13" style="13" bestFit="1" customWidth="1"/>
    <col min="4626" max="4626" width="20.109375" style="13" bestFit="1" customWidth="1"/>
    <col min="4627" max="4627" width="50.33203125" style="13" bestFit="1" customWidth="1"/>
    <col min="4628" max="4628" width="16.109375" style="13" bestFit="1" customWidth="1"/>
    <col min="4629" max="4629" width="12.33203125" style="13" customWidth="1"/>
    <col min="4630" max="4630" width="18.88671875" style="13" bestFit="1" customWidth="1"/>
    <col min="4631" max="4631" width="16.6640625" style="13" customWidth="1"/>
    <col min="4632" max="4632" width="19" style="13" bestFit="1" customWidth="1"/>
    <col min="4633" max="4633" width="9.109375" style="13"/>
    <col min="4634" max="4634" width="18.88671875" style="13" bestFit="1" customWidth="1"/>
    <col min="4635" max="4864" width="9.109375" style="13"/>
    <col min="4865" max="4865" width="10.5546875" style="13" bestFit="1" customWidth="1"/>
    <col min="4866" max="4866" width="44.109375" style="13" customWidth="1"/>
    <col min="4867" max="4867" width="14.6640625" style="13" customWidth="1"/>
    <col min="4868" max="4868" width="23.6640625" style="13" bestFit="1" customWidth="1"/>
    <col min="4869" max="4869" width="11.88671875" style="13" customWidth="1"/>
    <col min="4870" max="4870" width="20.6640625" style="13" customWidth="1"/>
    <col min="4871" max="4871" width="15.6640625" style="13" customWidth="1"/>
    <col min="4872" max="4873" width="16.109375" style="13" bestFit="1" customWidth="1"/>
    <col min="4874" max="4874" width="13.6640625" style="13" customWidth="1"/>
    <col min="4875" max="4875" width="12.6640625" style="13" bestFit="1" customWidth="1"/>
    <col min="4876" max="4876" width="15.5546875" style="13" customWidth="1"/>
    <col min="4877" max="4877" width="16.109375" style="13" bestFit="1" customWidth="1"/>
    <col min="4878" max="4878" width="13.33203125" style="13" bestFit="1" customWidth="1"/>
    <col min="4879" max="4879" width="16.33203125" style="13" bestFit="1" customWidth="1"/>
    <col min="4880" max="4880" width="9.33203125" style="13" bestFit="1" customWidth="1"/>
    <col min="4881" max="4881" width="13" style="13" bestFit="1" customWidth="1"/>
    <col min="4882" max="4882" width="20.109375" style="13" bestFit="1" customWidth="1"/>
    <col min="4883" max="4883" width="50.33203125" style="13" bestFit="1" customWidth="1"/>
    <col min="4884" max="4884" width="16.109375" style="13" bestFit="1" customWidth="1"/>
    <col min="4885" max="4885" width="12.33203125" style="13" customWidth="1"/>
    <col min="4886" max="4886" width="18.88671875" style="13" bestFit="1" customWidth="1"/>
    <col min="4887" max="4887" width="16.6640625" style="13" customWidth="1"/>
    <col min="4888" max="4888" width="19" style="13" bestFit="1" customWidth="1"/>
    <col min="4889" max="4889" width="9.109375" style="13"/>
    <col min="4890" max="4890" width="18.88671875" style="13" bestFit="1" customWidth="1"/>
    <col min="4891" max="5120" width="9.109375" style="13"/>
    <col min="5121" max="5121" width="10.5546875" style="13" bestFit="1" customWidth="1"/>
    <col min="5122" max="5122" width="44.109375" style="13" customWidth="1"/>
    <col min="5123" max="5123" width="14.6640625" style="13" customWidth="1"/>
    <col min="5124" max="5124" width="23.6640625" style="13" bestFit="1" customWidth="1"/>
    <col min="5125" max="5125" width="11.88671875" style="13" customWidth="1"/>
    <col min="5126" max="5126" width="20.6640625" style="13" customWidth="1"/>
    <col min="5127" max="5127" width="15.6640625" style="13" customWidth="1"/>
    <col min="5128" max="5129" width="16.109375" style="13" bestFit="1" customWidth="1"/>
    <col min="5130" max="5130" width="13.6640625" style="13" customWidth="1"/>
    <col min="5131" max="5131" width="12.6640625" style="13" bestFit="1" customWidth="1"/>
    <col min="5132" max="5132" width="15.5546875" style="13" customWidth="1"/>
    <col min="5133" max="5133" width="16.109375" style="13" bestFit="1" customWidth="1"/>
    <col min="5134" max="5134" width="13.33203125" style="13" bestFit="1" customWidth="1"/>
    <col min="5135" max="5135" width="16.33203125" style="13" bestFit="1" customWidth="1"/>
    <col min="5136" max="5136" width="9.33203125" style="13" bestFit="1" customWidth="1"/>
    <col min="5137" max="5137" width="13" style="13" bestFit="1" customWidth="1"/>
    <col min="5138" max="5138" width="20.109375" style="13" bestFit="1" customWidth="1"/>
    <col min="5139" max="5139" width="50.33203125" style="13" bestFit="1" customWidth="1"/>
    <col min="5140" max="5140" width="16.109375" style="13" bestFit="1" customWidth="1"/>
    <col min="5141" max="5141" width="12.33203125" style="13" customWidth="1"/>
    <col min="5142" max="5142" width="18.88671875" style="13" bestFit="1" customWidth="1"/>
    <col min="5143" max="5143" width="16.6640625" style="13" customWidth="1"/>
    <col min="5144" max="5144" width="19" style="13" bestFit="1" customWidth="1"/>
    <col min="5145" max="5145" width="9.109375" style="13"/>
    <col min="5146" max="5146" width="18.88671875" style="13" bestFit="1" customWidth="1"/>
    <col min="5147" max="5376" width="9.109375" style="13"/>
    <col min="5377" max="5377" width="10.5546875" style="13" bestFit="1" customWidth="1"/>
    <col min="5378" max="5378" width="44.109375" style="13" customWidth="1"/>
    <col min="5379" max="5379" width="14.6640625" style="13" customWidth="1"/>
    <col min="5380" max="5380" width="23.6640625" style="13" bestFit="1" customWidth="1"/>
    <col min="5381" max="5381" width="11.88671875" style="13" customWidth="1"/>
    <col min="5382" max="5382" width="20.6640625" style="13" customWidth="1"/>
    <col min="5383" max="5383" width="15.6640625" style="13" customWidth="1"/>
    <col min="5384" max="5385" width="16.109375" style="13" bestFit="1" customWidth="1"/>
    <col min="5386" max="5386" width="13.6640625" style="13" customWidth="1"/>
    <col min="5387" max="5387" width="12.6640625" style="13" bestFit="1" customWidth="1"/>
    <col min="5388" max="5388" width="15.5546875" style="13" customWidth="1"/>
    <col min="5389" max="5389" width="16.109375" style="13" bestFit="1" customWidth="1"/>
    <col min="5390" max="5390" width="13.33203125" style="13" bestFit="1" customWidth="1"/>
    <col min="5391" max="5391" width="16.33203125" style="13" bestFit="1" customWidth="1"/>
    <col min="5392" max="5392" width="9.33203125" style="13" bestFit="1" customWidth="1"/>
    <col min="5393" max="5393" width="13" style="13" bestFit="1" customWidth="1"/>
    <col min="5394" max="5394" width="20.109375" style="13" bestFit="1" customWidth="1"/>
    <col min="5395" max="5395" width="50.33203125" style="13" bestFit="1" customWidth="1"/>
    <col min="5396" max="5396" width="16.109375" style="13" bestFit="1" customWidth="1"/>
    <col min="5397" max="5397" width="12.33203125" style="13" customWidth="1"/>
    <col min="5398" max="5398" width="18.88671875" style="13" bestFit="1" customWidth="1"/>
    <col min="5399" max="5399" width="16.6640625" style="13" customWidth="1"/>
    <col min="5400" max="5400" width="19" style="13" bestFit="1" customWidth="1"/>
    <col min="5401" max="5401" width="9.109375" style="13"/>
    <col min="5402" max="5402" width="18.88671875" style="13" bestFit="1" customWidth="1"/>
    <col min="5403" max="5632" width="9.109375" style="13"/>
    <col min="5633" max="5633" width="10.5546875" style="13" bestFit="1" customWidth="1"/>
    <col min="5634" max="5634" width="44.109375" style="13" customWidth="1"/>
    <col min="5635" max="5635" width="14.6640625" style="13" customWidth="1"/>
    <col min="5636" max="5636" width="23.6640625" style="13" bestFit="1" customWidth="1"/>
    <col min="5637" max="5637" width="11.88671875" style="13" customWidth="1"/>
    <col min="5638" max="5638" width="20.6640625" style="13" customWidth="1"/>
    <col min="5639" max="5639" width="15.6640625" style="13" customWidth="1"/>
    <col min="5640" max="5641" width="16.109375" style="13" bestFit="1" customWidth="1"/>
    <col min="5642" max="5642" width="13.6640625" style="13" customWidth="1"/>
    <col min="5643" max="5643" width="12.6640625" style="13" bestFit="1" customWidth="1"/>
    <col min="5644" max="5644" width="15.5546875" style="13" customWidth="1"/>
    <col min="5645" max="5645" width="16.109375" style="13" bestFit="1" customWidth="1"/>
    <col min="5646" max="5646" width="13.33203125" style="13" bestFit="1" customWidth="1"/>
    <col min="5647" max="5647" width="16.33203125" style="13" bestFit="1" customWidth="1"/>
    <col min="5648" max="5648" width="9.33203125" style="13" bestFit="1" customWidth="1"/>
    <col min="5649" max="5649" width="13" style="13" bestFit="1" customWidth="1"/>
    <col min="5650" max="5650" width="20.109375" style="13" bestFit="1" customWidth="1"/>
    <col min="5651" max="5651" width="50.33203125" style="13" bestFit="1" customWidth="1"/>
    <col min="5652" max="5652" width="16.109375" style="13" bestFit="1" customWidth="1"/>
    <col min="5653" max="5653" width="12.33203125" style="13" customWidth="1"/>
    <col min="5654" max="5654" width="18.88671875" style="13" bestFit="1" customWidth="1"/>
    <col min="5655" max="5655" width="16.6640625" style="13" customWidth="1"/>
    <col min="5656" max="5656" width="19" style="13" bestFit="1" customWidth="1"/>
    <col min="5657" max="5657" width="9.109375" style="13"/>
    <col min="5658" max="5658" width="18.88671875" style="13" bestFit="1" customWidth="1"/>
    <col min="5659" max="5888" width="9.109375" style="13"/>
    <col min="5889" max="5889" width="10.5546875" style="13" bestFit="1" customWidth="1"/>
    <col min="5890" max="5890" width="44.109375" style="13" customWidth="1"/>
    <col min="5891" max="5891" width="14.6640625" style="13" customWidth="1"/>
    <col min="5892" max="5892" width="23.6640625" style="13" bestFit="1" customWidth="1"/>
    <col min="5893" max="5893" width="11.88671875" style="13" customWidth="1"/>
    <col min="5894" max="5894" width="20.6640625" style="13" customWidth="1"/>
    <col min="5895" max="5895" width="15.6640625" style="13" customWidth="1"/>
    <col min="5896" max="5897" width="16.109375" style="13" bestFit="1" customWidth="1"/>
    <col min="5898" max="5898" width="13.6640625" style="13" customWidth="1"/>
    <col min="5899" max="5899" width="12.6640625" style="13" bestFit="1" customWidth="1"/>
    <col min="5900" max="5900" width="15.5546875" style="13" customWidth="1"/>
    <col min="5901" max="5901" width="16.109375" style="13" bestFit="1" customWidth="1"/>
    <col min="5902" max="5902" width="13.33203125" style="13" bestFit="1" customWidth="1"/>
    <col min="5903" max="5903" width="16.33203125" style="13" bestFit="1" customWidth="1"/>
    <col min="5904" max="5904" width="9.33203125" style="13" bestFit="1" customWidth="1"/>
    <col min="5905" max="5905" width="13" style="13" bestFit="1" customWidth="1"/>
    <col min="5906" max="5906" width="20.109375" style="13" bestFit="1" customWidth="1"/>
    <col min="5907" max="5907" width="50.33203125" style="13" bestFit="1" customWidth="1"/>
    <col min="5908" max="5908" width="16.109375" style="13" bestFit="1" customWidth="1"/>
    <col min="5909" max="5909" width="12.33203125" style="13" customWidth="1"/>
    <col min="5910" max="5910" width="18.88671875" style="13" bestFit="1" customWidth="1"/>
    <col min="5911" max="5911" width="16.6640625" style="13" customWidth="1"/>
    <col min="5912" max="5912" width="19" style="13" bestFit="1" customWidth="1"/>
    <col min="5913" max="5913" width="9.109375" style="13"/>
    <col min="5914" max="5914" width="18.88671875" style="13" bestFit="1" customWidth="1"/>
    <col min="5915" max="6144" width="9.109375" style="13"/>
    <col min="6145" max="6145" width="10.5546875" style="13" bestFit="1" customWidth="1"/>
    <col min="6146" max="6146" width="44.109375" style="13" customWidth="1"/>
    <col min="6147" max="6147" width="14.6640625" style="13" customWidth="1"/>
    <col min="6148" max="6148" width="23.6640625" style="13" bestFit="1" customWidth="1"/>
    <col min="6149" max="6149" width="11.88671875" style="13" customWidth="1"/>
    <col min="6150" max="6150" width="20.6640625" style="13" customWidth="1"/>
    <col min="6151" max="6151" width="15.6640625" style="13" customWidth="1"/>
    <col min="6152" max="6153" width="16.109375" style="13" bestFit="1" customWidth="1"/>
    <col min="6154" max="6154" width="13.6640625" style="13" customWidth="1"/>
    <col min="6155" max="6155" width="12.6640625" style="13" bestFit="1" customWidth="1"/>
    <col min="6156" max="6156" width="15.5546875" style="13" customWidth="1"/>
    <col min="6157" max="6157" width="16.109375" style="13" bestFit="1" customWidth="1"/>
    <col min="6158" max="6158" width="13.33203125" style="13" bestFit="1" customWidth="1"/>
    <col min="6159" max="6159" width="16.33203125" style="13" bestFit="1" customWidth="1"/>
    <col min="6160" max="6160" width="9.33203125" style="13" bestFit="1" customWidth="1"/>
    <col min="6161" max="6161" width="13" style="13" bestFit="1" customWidth="1"/>
    <col min="6162" max="6162" width="20.109375" style="13" bestFit="1" customWidth="1"/>
    <col min="6163" max="6163" width="50.33203125" style="13" bestFit="1" customWidth="1"/>
    <col min="6164" max="6164" width="16.109375" style="13" bestFit="1" customWidth="1"/>
    <col min="6165" max="6165" width="12.33203125" style="13" customWidth="1"/>
    <col min="6166" max="6166" width="18.88671875" style="13" bestFit="1" customWidth="1"/>
    <col min="6167" max="6167" width="16.6640625" style="13" customWidth="1"/>
    <col min="6168" max="6168" width="19" style="13" bestFit="1" customWidth="1"/>
    <col min="6169" max="6169" width="9.109375" style="13"/>
    <col min="6170" max="6170" width="18.88671875" style="13" bestFit="1" customWidth="1"/>
    <col min="6171" max="6400" width="9.109375" style="13"/>
    <col min="6401" max="6401" width="10.5546875" style="13" bestFit="1" customWidth="1"/>
    <col min="6402" max="6402" width="44.109375" style="13" customWidth="1"/>
    <col min="6403" max="6403" width="14.6640625" style="13" customWidth="1"/>
    <col min="6404" max="6404" width="23.6640625" style="13" bestFit="1" customWidth="1"/>
    <col min="6405" max="6405" width="11.88671875" style="13" customWidth="1"/>
    <col min="6406" max="6406" width="20.6640625" style="13" customWidth="1"/>
    <col min="6407" max="6407" width="15.6640625" style="13" customWidth="1"/>
    <col min="6408" max="6409" width="16.109375" style="13" bestFit="1" customWidth="1"/>
    <col min="6410" max="6410" width="13.6640625" style="13" customWidth="1"/>
    <col min="6411" max="6411" width="12.6640625" style="13" bestFit="1" customWidth="1"/>
    <col min="6412" max="6412" width="15.5546875" style="13" customWidth="1"/>
    <col min="6413" max="6413" width="16.109375" style="13" bestFit="1" customWidth="1"/>
    <col min="6414" max="6414" width="13.33203125" style="13" bestFit="1" customWidth="1"/>
    <col min="6415" max="6415" width="16.33203125" style="13" bestFit="1" customWidth="1"/>
    <col min="6416" max="6416" width="9.33203125" style="13" bestFit="1" customWidth="1"/>
    <col min="6417" max="6417" width="13" style="13" bestFit="1" customWidth="1"/>
    <col min="6418" max="6418" width="20.109375" style="13" bestFit="1" customWidth="1"/>
    <col min="6419" max="6419" width="50.33203125" style="13" bestFit="1" customWidth="1"/>
    <col min="6420" max="6420" width="16.109375" style="13" bestFit="1" customWidth="1"/>
    <col min="6421" max="6421" width="12.33203125" style="13" customWidth="1"/>
    <col min="6422" max="6422" width="18.88671875" style="13" bestFit="1" customWidth="1"/>
    <col min="6423" max="6423" width="16.6640625" style="13" customWidth="1"/>
    <col min="6424" max="6424" width="19" style="13" bestFit="1" customWidth="1"/>
    <col min="6425" max="6425" width="9.109375" style="13"/>
    <col min="6426" max="6426" width="18.88671875" style="13" bestFit="1" customWidth="1"/>
    <col min="6427" max="6656" width="9.109375" style="13"/>
    <col min="6657" max="6657" width="10.5546875" style="13" bestFit="1" customWidth="1"/>
    <col min="6658" max="6658" width="44.109375" style="13" customWidth="1"/>
    <col min="6659" max="6659" width="14.6640625" style="13" customWidth="1"/>
    <col min="6660" max="6660" width="23.6640625" style="13" bestFit="1" customWidth="1"/>
    <col min="6661" max="6661" width="11.88671875" style="13" customWidth="1"/>
    <col min="6662" max="6662" width="20.6640625" style="13" customWidth="1"/>
    <col min="6663" max="6663" width="15.6640625" style="13" customWidth="1"/>
    <col min="6664" max="6665" width="16.109375" style="13" bestFit="1" customWidth="1"/>
    <col min="6666" max="6666" width="13.6640625" style="13" customWidth="1"/>
    <col min="6667" max="6667" width="12.6640625" style="13" bestFit="1" customWidth="1"/>
    <col min="6668" max="6668" width="15.5546875" style="13" customWidth="1"/>
    <col min="6669" max="6669" width="16.109375" style="13" bestFit="1" customWidth="1"/>
    <col min="6670" max="6670" width="13.33203125" style="13" bestFit="1" customWidth="1"/>
    <col min="6671" max="6671" width="16.33203125" style="13" bestFit="1" customWidth="1"/>
    <col min="6672" max="6672" width="9.33203125" style="13" bestFit="1" customWidth="1"/>
    <col min="6673" max="6673" width="13" style="13" bestFit="1" customWidth="1"/>
    <col min="6674" max="6674" width="20.109375" style="13" bestFit="1" customWidth="1"/>
    <col min="6675" max="6675" width="50.33203125" style="13" bestFit="1" customWidth="1"/>
    <col min="6676" max="6676" width="16.109375" style="13" bestFit="1" customWidth="1"/>
    <col min="6677" max="6677" width="12.33203125" style="13" customWidth="1"/>
    <col min="6678" max="6678" width="18.88671875" style="13" bestFit="1" customWidth="1"/>
    <col min="6679" max="6679" width="16.6640625" style="13" customWidth="1"/>
    <col min="6680" max="6680" width="19" style="13" bestFit="1" customWidth="1"/>
    <col min="6681" max="6681" width="9.109375" style="13"/>
    <col min="6682" max="6682" width="18.88671875" style="13" bestFit="1" customWidth="1"/>
    <col min="6683" max="6912" width="9.109375" style="13"/>
    <col min="6913" max="6913" width="10.5546875" style="13" bestFit="1" customWidth="1"/>
    <col min="6914" max="6914" width="44.109375" style="13" customWidth="1"/>
    <col min="6915" max="6915" width="14.6640625" style="13" customWidth="1"/>
    <col min="6916" max="6916" width="23.6640625" style="13" bestFit="1" customWidth="1"/>
    <col min="6917" max="6917" width="11.88671875" style="13" customWidth="1"/>
    <col min="6918" max="6918" width="20.6640625" style="13" customWidth="1"/>
    <col min="6919" max="6919" width="15.6640625" style="13" customWidth="1"/>
    <col min="6920" max="6921" width="16.109375" style="13" bestFit="1" customWidth="1"/>
    <col min="6922" max="6922" width="13.6640625" style="13" customWidth="1"/>
    <col min="6923" max="6923" width="12.6640625" style="13" bestFit="1" customWidth="1"/>
    <col min="6924" max="6924" width="15.5546875" style="13" customWidth="1"/>
    <col min="6925" max="6925" width="16.109375" style="13" bestFit="1" customWidth="1"/>
    <col min="6926" max="6926" width="13.33203125" style="13" bestFit="1" customWidth="1"/>
    <col min="6927" max="6927" width="16.33203125" style="13" bestFit="1" customWidth="1"/>
    <col min="6928" max="6928" width="9.33203125" style="13" bestFit="1" customWidth="1"/>
    <col min="6929" max="6929" width="13" style="13" bestFit="1" customWidth="1"/>
    <col min="6930" max="6930" width="20.109375" style="13" bestFit="1" customWidth="1"/>
    <col min="6931" max="6931" width="50.33203125" style="13" bestFit="1" customWidth="1"/>
    <col min="6932" max="6932" width="16.109375" style="13" bestFit="1" customWidth="1"/>
    <col min="6933" max="6933" width="12.33203125" style="13" customWidth="1"/>
    <col min="6934" max="6934" width="18.88671875" style="13" bestFit="1" customWidth="1"/>
    <col min="6935" max="6935" width="16.6640625" style="13" customWidth="1"/>
    <col min="6936" max="6936" width="19" style="13" bestFit="1" customWidth="1"/>
    <col min="6937" max="6937" width="9.109375" style="13"/>
    <col min="6938" max="6938" width="18.88671875" style="13" bestFit="1" customWidth="1"/>
    <col min="6939" max="7168" width="9.109375" style="13"/>
    <col min="7169" max="7169" width="10.5546875" style="13" bestFit="1" customWidth="1"/>
    <col min="7170" max="7170" width="44.109375" style="13" customWidth="1"/>
    <col min="7171" max="7171" width="14.6640625" style="13" customWidth="1"/>
    <col min="7172" max="7172" width="23.6640625" style="13" bestFit="1" customWidth="1"/>
    <col min="7173" max="7173" width="11.88671875" style="13" customWidth="1"/>
    <col min="7174" max="7174" width="20.6640625" style="13" customWidth="1"/>
    <col min="7175" max="7175" width="15.6640625" style="13" customWidth="1"/>
    <col min="7176" max="7177" width="16.109375" style="13" bestFit="1" customWidth="1"/>
    <col min="7178" max="7178" width="13.6640625" style="13" customWidth="1"/>
    <col min="7179" max="7179" width="12.6640625" style="13" bestFit="1" customWidth="1"/>
    <col min="7180" max="7180" width="15.5546875" style="13" customWidth="1"/>
    <col min="7181" max="7181" width="16.109375" style="13" bestFit="1" customWidth="1"/>
    <col min="7182" max="7182" width="13.33203125" style="13" bestFit="1" customWidth="1"/>
    <col min="7183" max="7183" width="16.33203125" style="13" bestFit="1" customWidth="1"/>
    <col min="7184" max="7184" width="9.33203125" style="13" bestFit="1" customWidth="1"/>
    <col min="7185" max="7185" width="13" style="13" bestFit="1" customWidth="1"/>
    <col min="7186" max="7186" width="20.109375" style="13" bestFit="1" customWidth="1"/>
    <col min="7187" max="7187" width="50.33203125" style="13" bestFit="1" customWidth="1"/>
    <col min="7188" max="7188" width="16.109375" style="13" bestFit="1" customWidth="1"/>
    <col min="7189" max="7189" width="12.33203125" style="13" customWidth="1"/>
    <col min="7190" max="7190" width="18.88671875" style="13" bestFit="1" customWidth="1"/>
    <col min="7191" max="7191" width="16.6640625" style="13" customWidth="1"/>
    <col min="7192" max="7192" width="19" style="13" bestFit="1" customWidth="1"/>
    <col min="7193" max="7193" width="9.109375" style="13"/>
    <col min="7194" max="7194" width="18.88671875" style="13" bestFit="1" customWidth="1"/>
    <col min="7195" max="7424" width="9.109375" style="13"/>
    <col min="7425" max="7425" width="10.5546875" style="13" bestFit="1" customWidth="1"/>
    <col min="7426" max="7426" width="44.109375" style="13" customWidth="1"/>
    <col min="7427" max="7427" width="14.6640625" style="13" customWidth="1"/>
    <col min="7428" max="7428" width="23.6640625" style="13" bestFit="1" customWidth="1"/>
    <col min="7429" max="7429" width="11.88671875" style="13" customWidth="1"/>
    <col min="7430" max="7430" width="20.6640625" style="13" customWidth="1"/>
    <col min="7431" max="7431" width="15.6640625" style="13" customWidth="1"/>
    <col min="7432" max="7433" width="16.109375" style="13" bestFit="1" customWidth="1"/>
    <col min="7434" max="7434" width="13.6640625" style="13" customWidth="1"/>
    <col min="7435" max="7435" width="12.6640625" style="13" bestFit="1" customWidth="1"/>
    <col min="7436" max="7436" width="15.5546875" style="13" customWidth="1"/>
    <col min="7437" max="7437" width="16.109375" style="13" bestFit="1" customWidth="1"/>
    <col min="7438" max="7438" width="13.33203125" style="13" bestFit="1" customWidth="1"/>
    <col min="7439" max="7439" width="16.33203125" style="13" bestFit="1" customWidth="1"/>
    <col min="7440" max="7440" width="9.33203125" style="13" bestFit="1" customWidth="1"/>
    <col min="7441" max="7441" width="13" style="13" bestFit="1" customWidth="1"/>
    <col min="7442" max="7442" width="20.109375" style="13" bestFit="1" customWidth="1"/>
    <col min="7443" max="7443" width="50.33203125" style="13" bestFit="1" customWidth="1"/>
    <col min="7444" max="7444" width="16.109375" style="13" bestFit="1" customWidth="1"/>
    <col min="7445" max="7445" width="12.33203125" style="13" customWidth="1"/>
    <col min="7446" max="7446" width="18.88671875" style="13" bestFit="1" customWidth="1"/>
    <col min="7447" max="7447" width="16.6640625" style="13" customWidth="1"/>
    <col min="7448" max="7448" width="19" style="13" bestFit="1" customWidth="1"/>
    <col min="7449" max="7449" width="9.109375" style="13"/>
    <col min="7450" max="7450" width="18.88671875" style="13" bestFit="1" customWidth="1"/>
    <col min="7451" max="7680" width="9.109375" style="13"/>
    <col min="7681" max="7681" width="10.5546875" style="13" bestFit="1" customWidth="1"/>
    <col min="7682" max="7682" width="44.109375" style="13" customWidth="1"/>
    <col min="7683" max="7683" width="14.6640625" style="13" customWidth="1"/>
    <col min="7684" max="7684" width="23.6640625" style="13" bestFit="1" customWidth="1"/>
    <col min="7685" max="7685" width="11.88671875" style="13" customWidth="1"/>
    <col min="7686" max="7686" width="20.6640625" style="13" customWidth="1"/>
    <col min="7687" max="7687" width="15.6640625" style="13" customWidth="1"/>
    <col min="7688" max="7689" width="16.109375" style="13" bestFit="1" customWidth="1"/>
    <col min="7690" max="7690" width="13.6640625" style="13" customWidth="1"/>
    <col min="7691" max="7691" width="12.6640625" style="13" bestFit="1" customWidth="1"/>
    <col min="7692" max="7692" width="15.5546875" style="13" customWidth="1"/>
    <col min="7693" max="7693" width="16.109375" style="13" bestFit="1" customWidth="1"/>
    <col min="7694" max="7694" width="13.33203125" style="13" bestFit="1" customWidth="1"/>
    <col min="7695" max="7695" width="16.33203125" style="13" bestFit="1" customWidth="1"/>
    <col min="7696" max="7696" width="9.33203125" style="13" bestFit="1" customWidth="1"/>
    <col min="7697" max="7697" width="13" style="13" bestFit="1" customWidth="1"/>
    <col min="7698" max="7698" width="20.109375" style="13" bestFit="1" customWidth="1"/>
    <col min="7699" max="7699" width="50.33203125" style="13" bestFit="1" customWidth="1"/>
    <col min="7700" max="7700" width="16.109375" style="13" bestFit="1" customWidth="1"/>
    <col min="7701" max="7701" width="12.33203125" style="13" customWidth="1"/>
    <col min="7702" max="7702" width="18.88671875" style="13" bestFit="1" customWidth="1"/>
    <col min="7703" max="7703" width="16.6640625" style="13" customWidth="1"/>
    <col min="7704" max="7704" width="19" style="13" bestFit="1" customWidth="1"/>
    <col min="7705" max="7705" width="9.109375" style="13"/>
    <col min="7706" max="7706" width="18.88671875" style="13" bestFit="1" customWidth="1"/>
    <col min="7707" max="7936" width="9.109375" style="13"/>
    <col min="7937" max="7937" width="10.5546875" style="13" bestFit="1" customWidth="1"/>
    <col min="7938" max="7938" width="44.109375" style="13" customWidth="1"/>
    <col min="7939" max="7939" width="14.6640625" style="13" customWidth="1"/>
    <col min="7940" max="7940" width="23.6640625" style="13" bestFit="1" customWidth="1"/>
    <col min="7941" max="7941" width="11.88671875" style="13" customWidth="1"/>
    <col min="7942" max="7942" width="20.6640625" style="13" customWidth="1"/>
    <col min="7943" max="7943" width="15.6640625" style="13" customWidth="1"/>
    <col min="7944" max="7945" width="16.109375" style="13" bestFit="1" customWidth="1"/>
    <col min="7946" max="7946" width="13.6640625" style="13" customWidth="1"/>
    <col min="7947" max="7947" width="12.6640625" style="13" bestFit="1" customWidth="1"/>
    <col min="7948" max="7948" width="15.5546875" style="13" customWidth="1"/>
    <col min="7949" max="7949" width="16.109375" style="13" bestFit="1" customWidth="1"/>
    <col min="7950" max="7950" width="13.33203125" style="13" bestFit="1" customWidth="1"/>
    <col min="7951" max="7951" width="16.33203125" style="13" bestFit="1" customWidth="1"/>
    <col min="7952" max="7952" width="9.33203125" style="13" bestFit="1" customWidth="1"/>
    <col min="7953" max="7953" width="13" style="13" bestFit="1" customWidth="1"/>
    <col min="7954" max="7954" width="20.109375" style="13" bestFit="1" customWidth="1"/>
    <col min="7955" max="7955" width="50.33203125" style="13" bestFit="1" customWidth="1"/>
    <col min="7956" max="7956" width="16.109375" style="13" bestFit="1" customWidth="1"/>
    <col min="7957" max="7957" width="12.33203125" style="13" customWidth="1"/>
    <col min="7958" max="7958" width="18.88671875" style="13" bestFit="1" customWidth="1"/>
    <col min="7959" max="7959" width="16.6640625" style="13" customWidth="1"/>
    <col min="7960" max="7960" width="19" style="13" bestFit="1" customWidth="1"/>
    <col min="7961" max="7961" width="9.109375" style="13"/>
    <col min="7962" max="7962" width="18.88671875" style="13" bestFit="1" customWidth="1"/>
    <col min="7963" max="8192" width="9.109375" style="13"/>
    <col min="8193" max="8193" width="10.5546875" style="13" bestFit="1" customWidth="1"/>
    <col min="8194" max="8194" width="44.109375" style="13" customWidth="1"/>
    <col min="8195" max="8195" width="14.6640625" style="13" customWidth="1"/>
    <col min="8196" max="8196" width="23.6640625" style="13" bestFit="1" customWidth="1"/>
    <col min="8197" max="8197" width="11.88671875" style="13" customWidth="1"/>
    <col min="8198" max="8198" width="20.6640625" style="13" customWidth="1"/>
    <col min="8199" max="8199" width="15.6640625" style="13" customWidth="1"/>
    <col min="8200" max="8201" width="16.109375" style="13" bestFit="1" customWidth="1"/>
    <col min="8202" max="8202" width="13.6640625" style="13" customWidth="1"/>
    <col min="8203" max="8203" width="12.6640625" style="13" bestFit="1" customWidth="1"/>
    <col min="8204" max="8204" width="15.5546875" style="13" customWidth="1"/>
    <col min="8205" max="8205" width="16.109375" style="13" bestFit="1" customWidth="1"/>
    <col min="8206" max="8206" width="13.33203125" style="13" bestFit="1" customWidth="1"/>
    <col min="8207" max="8207" width="16.33203125" style="13" bestFit="1" customWidth="1"/>
    <col min="8208" max="8208" width="9.33203125" style="13" bestFit="1" customWidth="1"/>
    <col min="8209" max="8209" width="13" style="13" bestFit="1" customWidth="1"/>
    <col min="8210" max="8210" width="20.109375" style="13" bestFit="1" customWidth="1"/>
    <col min="8211" max="8211" width="50.33203125" style="13" bestFit="1" customWidth="1"/>
    <col min="8212" max="8212" width="16.109375" style="13" bestFit="1" customWidth="1"/>
    <col min="8213" max="8213" width="12.33203125" style="13" customWidth="1"/>
    <col min="8214" max="8214" width="18.88671875" style="13" bestFit="1" customWidth="1"/>
    <col min="8215" max="8215" width="16.6640625" style="13" customWidth="1"/>
    <col min="8216" max="8216" width="19" style="13" bestFit="1" customWidth="1"/>
    <col min="8217" max="8217" width="9.109375" style="13"/>
    <col min="8218" max="8218" width="18.88671875" style="13" bestFit="1" customWidth="1"/>
    <col min="8219" max="8448" width="9.109375" style="13"/>
    <col min="8449" max="8449" width="10.5546875" style="13" bestFit="1" customWidth="1"/>
    <col min="8450" max="8450" width="44.109375" style="13" customWidth="1"/>
    <col min="8451" max="8451" width="14.6640625" style="13" customWidth="1"/>
    <col min="8452" max="8452" width="23.6640625" style="13" bestFit="1" customWidth="1"/>
    <col min="8453" max="8453" width="11.88671875" style="13" customWidth="1"/>
    <col min="8454" max="8454" width="20.6640625" style="13" customWidth="1"/>
    <col min="8455" max="8455" width="15.6640625" style="13" customWidth="1"/>
    <col min="8456" max="8457" width="16.109375" style="13" bestFit="1" customWidth="1"/>
    <col min="8458" max="8458" width="13.6640625" style="13" customWidth="1"/>
    <col min="8459" max="8459" width="12.6640625" style="13" bestFit="1" customWidth="1"/>
    <col min="8460" max="8460" width="15.5546875" style="13" customWidth="1"/>
    <col min="8461" max="8461" width="16.109375" style="13" bestFit="1" customWidth="1"/>
    <col min="8462" max="8462" width="13.33203125" style="13" bestFit="1" customWidth="1"/>
    <col min="8463" max="8463" width="16.33203125" style="13" bestFit="1" customWidth="1"/>
    <col min="8464" max="8464" width="9.33203125" style="13" bestFit="1" customWidth="1"/>
    <col min="8465" max="8465" width="13" style="13" bestFit="1" customWidth="1"/>
    <col min="8466" max="8466" width="20.109375" style="13" bestFit="1" customWidth="1"/>
    <col min="8467" max="8467" width="50.33203125" style="13" bestFit="1" customWidth="1"/>
    <col min="8468" max="8468" width="16.109375" style="13" bestFit="1" customWidth="1"/>
    <col min="8469" max="8469" width="12.33203125" style="13" customWidth="1"/>
    <col min="8470" max="8470" width="18.88671875" style="13" bestFit="1" customWidth="1"/>
    <col min="8471" max="8471" width="16.6640625" style="13" customWidth="1"/>
    <col min="8472" max="8472" width="19" style="13" bestFit="1" customWidth="1"/>
    <col min="8473" max="8473" width="9.109375" style="13"/>
    <col min="8474" max="8474" width="18.88671875" style="13" bestFit="1" customWidth="1"/>
    <col min="8475" max="8704" width="9.109375" style="13"/>
    <col min="8705" max="8705" width="10.5546875" style="13" bestFit="1" customWidth="1"/>
    <col min="8706" max="8706" width="44.109375" style="13" customWidth="1"/>
    <col min="8707" max="8707" width="14.6640625" style="13" customWidth="1"/>
    <col min="8708" max="8708" width="23.6640625" style="13" bestFit="1" customWidth="1"/>
    <col min="8709" max="8709" width="11.88671875" style="13" customWidth="1"/>
    <col min="8710" max="8710" width="20.6640625" style="13" customWidth="1"/>
    <col min="8711" max="8711" width="15.6640625" style="13" customWidth="1"/>
    <col min="8712" max="8713" width="16.109375" style="13" bestFit="1" customWidth="1"/>
    <col min="8714" max="8714" width="13.6640625" style="13" customWidth="1"/>
    <col min="8715" max="8715" width="12.6640625" style="13" bestFit="1" customWidth="1"/>
    <col min="8716" max="8716" width="15.5546875" style="13" customWidth="1"/>
    <col min="8717" max="8717" width="16.109375" style="13" bestFit="1" customWidth="1"/>
    <col min="8718" max="8718" width="13.33203125" style="13" bestFit="1" customWidth="1"/>
    <col min="8719" max="8719" width="16.33203125" style="13" bestFit="1" customWidth="1"/>
    <col min="8720" max="8720" width="9.33203125" style="13" bestFit="1" customWidth="1"/>
    <col min="8721" max="8721" width="13" style="13" bestFit="1" customWidth="1"/>
    <col min="8722" max="8722" width="20.109375" style="13" bestFit="1" customWidth="1"/>
    <col min="8723" max="8723" width="50.33203125" style="13" bestFit="1" customWidth="1"/>
    <col min="8724" max="8724" width="16.109375" style="13" bestFit="1" customWidth="1"/>
    <col min="8725" max="8725" width="12.33203125" style="13" customWidth="1"/>
    <col min="8726" max="8726" width="18.88671875" style="13" bestFit="1" customWidth="1"/>
    <col min="8727" max="8727" width="16.6640625" style="13" customWidth="1"/>
    <col min="8728" max="8728" width="19" style="13" bestFit="1" customWidth="1"/>
    <col min="8729" max="8729" width="9.109375" style="13"/>
    <col min="8730" max="8730" width="18.88671875" style="13" bestFit="1" customWidth="1"/>
    <col min="8731" max="8960" width="9.109375" style="13"/>
    <col min="8961" max="8961" width="10.5546875" style="13" bestFit="1" customWidth="1"/>
    <col min="8962" max="8962" width="44.109375" style="13" customWidth="1"/>
    <col min="8963" max="8963" width="14.6640625" style="13" customWidth="1"/>
    <col min="8964" max="8964" width="23.6640625" style="13" bestFit="1" customWidth="1"/>
    <col min="8965" max="8965" width="11.88671875" style="13" customWidth="1"/>
    <col min="8966" max="8966" width="20.6640625" style="13" customWidth="1"/>
    <col min="8967" max="8967" width="15.6640625" style="13" customWidth="1"/>
    <col min="8968" max="8969" width="16.109375" style="13" bestFit="1" customWidth="1"/>
    <col min="8970" max="8970" width="13.6640625" style="13" customWidth="1"/>
    <col min="8971" max="8971" width="12.6640625" style="13" bestFit="1" customWidth="1"/>
    <col min="8972" max="8972" width="15.5546875" style="13" customWidth="1"/>
    <col min="8973" max="8973" width="16.109375" style="13" bestFit="1" customWidth="1"/>
    <col min="8974" max="8974" width="13.33203125" style="13" bestFit="1" customWidth="1"/>
    <col min="8975" max="8975" width="16.33203125" style="13" bestFit="1" customWidth="1"/>
    <col min="8976" max="8976" width="9.33203125" style="13" bestFit="1" customWidth="1"/>
    <col min="8977" max="8977" width="13" style="13" bestFit="1" customWidth="1"/>
    <col min="8978" max="8978" width="20.109375" style="13" bestFit="1" customWidth="1"/>
    <col min="8979" max="8979" width="50.33203125" style="13" bestFit="1" customWidth="1"/>
    <col min="8980" max="8980" width="16.109375" style="13" bestFit="1" customWidth="1"/>
    <col min="8981" max="8981" width="12.33203125" style="13" customWidth="1"/>
    <col min="8982" max="8982" width="18.88671875" style="13" bestFit="1" customWidth="1"/>
    <col min="8983" max="8983" width="16.6640625" style="13" customWidth="1"/>
    <col min="8984" max="8984" width="19" style="13" bestFit="1" customWidth="1"/>
    <col min="8985" max="8985" width="9.109375" style="13"/>
    <col min="8986" max="8986" width="18.88671875" style="13" bestFit="1" customWidth="1"/>
    <col min="8987" max="9216" width="9.109375" style="13"/>
    <col min="9217" max="9217" width="10.5546875" style="13" bestFit="1" customWidth="1"/>
    <col min="9218" max="9218" width="44.109375" style="13" customWidth="1"/>
    <col min="9219" max="9219" width="14.6640625" style="13" customWidth="1"/>
    <col min="9220" max="9220" width="23.6640625" style="13" bestFit="1" customWidth="1"/>
    <col min="9221" max="9221" width="11.88671875" style="13" customWidth="1"/>
    <col min="9222" max="9222" width="20.6640625" style="13" customWidth="1"/>
    <col min="9223" max="9223" width="15.6640625" style="13" customWidth="1"/>
    <col min="9224" max="9225" width="16.109375" style="13" bestFit="1" customWidth="1"/>
    <col min="9226" max="9226" width="13.6640625" style="13" customWidth="1"/>
    <col min="9227" max="9227" width="12.6640625" style="13" bestFit="1" customWidth="1"/>
    <col min="9228" max="9228" width="15.5546875" style="13" customWidth="1"/>
    <col min="9229" max="9229" width="16.109375" style="13" bestFit="1" customWidth="1"/>
    <col min="9230" max="9230" width="13.33203125" style="13" bestFit="1" customWidth="1"/>
    <col min="9231" max="9231" width="16.33203125" style="13" bestFit="1" customWidth="1"/>
    <col min="9232" max="9232" width="9.33203125" style="13" bestFit="1" customWidth="1"/>
    <col min="9233" max="9233" width="13" style="13" bestFit="1" customWidth="1"/>
    <col min="9234" max="9234" width="20.109375" style="13" bestFit="1" customWidth="1"/>
    <col min="9235" max="9235" width="50.33203125" style="13" bestFit="1" customWidth="1"/>
    <col min="9236" max="9236" width="16.109375" style="13" bestFit="1" customWidth="1"/>
    <col min="9237" max="9237" width="12.33203125" style="13" customWidth="1"/>
    <col min="9238" max="9238" width="18.88671875" style="13" bestFit="1" customWidth="1"/>
    <col min="9239" max="9239" width="16.6640625" style="13" customWidth="1"/>
    <col min="9240" max="9240" width="19" style="13" bestFit="1" customWidth="1"/>
    <col min="9241" max="9241" width="9.109375" style="13"/>
    <col min="9242" max="9242" width="18.88671875" style="13" bestFit="1" customWidth="1"/>
    <col min="9243" max="9472" width="9.109375" style="13"/>
    <col min="9473" max="9473" width="10.5546875" style="13" bestFit="1" customWidth="1"/>
    <col min="9474" max="9474" width="44.109375" style="13" customWidth="1"/>
    <col min="9475" max="9475" width="14.6640625" style="13" customWidth="1"/>
    <col min="9476" max="9476" width="23.6640625" style="13" bestFit="1" customWidth="1"/>
    <col min="9477" max="9477" width="11.88671875" style="13" customWidth="1"/>
    <col min="9478" max="9478" width="20.6640625" style="13" customWidth="1"/>
    <col min="9479" max="9479" width="15.6640625" style="13" customWidth="1"/>
    <col min="9480" max="9481" width="16.109375" style="13" bestFit="1" customWidth="1"/>
    <col min="9482" max="9482" width="13.6640625" style="13" customWidth="1"/>
    <col min="9483" max="9483" width="12.6640625" style="13" bestFit="1" customWidth="1"/>
    <col min="9484" max="9484" width="15.5546875" style="13" customWidth="1"/>
    <col min="9485" max="9485" width="16.109375" style="13" bestFit="1" customWidth="1"/>
    <col min="9486" max="9486" width="13.33203125" style="13" bestFit="1" customWidth="1"/>
    <col min="9487" max="9487" width="16.33203125" style="13" bestFit="1" customWidth="1"/>
    <col min="9488" max="9488" width="9.33203125" style="13" bestFit="1" customWidth="1"/>
    <col min="9489" max="9489" width="13" style="13" bestFit="1" customWidth="1"/>
    <col min="9490" max="9490" width="20.109375" style="13" bestFit="1" customWidth="1"/>
    <col min="9491" max="9491" width="50.33203125" style="13" bestFit="1" customWidth="1"/>
    <col min="9492" max="9492" width="16.109375" style="13" bestFit="1" customWidth="1"/>
    <col min="9493" max="9493" width="12.33203125" style="13" customWidth="1"/>
    <col min="9494" max="9494" width="18.88671875" style="13" bestFit="1" customWidth="1"/>
    <col min="9495" max="9495" width="16.6640625" style="13" customWidth="1"/>
    <col min="9496" max="9496" width="19" style="13" bestFit="1" customWidth="1"/>
    <col min="9497" max="9497" width="9.109375" style="13"/>
    <col min="9498" max="9498" width="18.88671875" style="13" bestFit="1" customWidth="1"/>
    <col min="9499" max="9728" width="9.109375" style="13"/>
    <col min="9729" max="9729" width="10.5546875" style="13" bestFit="1" customWidth="1"/>
    <col min="9730" max="9730" width="44.109375" style="13" customWidth="1"/>
    <col min="9731" max="9731" width="14.6640625" style="13" customWidth="1"/>
    <col min="9732" max="9732" width="23.6640625" style="13" bestFit="1" customWidth="1"/>
    <col min="9733" max="9733" width="11.88671875" style="13" customWidth="1"/>
    <col min="9734" max="9734" width="20.6640625" style="13" customWidth="1"/>
    <col min="9735" max="9735" width="15.6640625" style="13" customWidth="1"/>
    <col min="9736" max="9737" width="16.109375" style="13" bestFit="1" customWidth="1"/>
    <col min="9738" max="9738" width="13.6640625" style="13" customWidth="1"/>
    <col min="9739" max="9739" width="12.6640625" style="13" bestFit="1" customWidth="1"/>
    <col min="9740" max="9740" width="15.5546875" style="13" customWidth="1"/>
    <col min="9741" max="9741" width="16.109375" style="13" bestFit="1" customWidth="1"/>
    <col min="9742" max="9742" width="13.33203125" style="13" bestFit="1" customWidth="1"/>
    <col min="9743" max="9743" width="16.33203125" style="13" bestFit="1" customWidth="1"/>
    <col min="9744" max="9744" width="9.33203125" style="13" bestFit="1" customWidth="1"/>
    <col min="9745" max="9745" width="13" style="13" bestFit="1" customWidth="1"/>
    <col min="9746" max="9746" width="20.109375" style="13" bestFit="1" customWidth="1"/>
    <col min="9747" max="9747" width="50.33203125" style="13" bestFit="1" customWidth="1"/>
    <col min="9748" max="9748" width="16.109375" style="13" bestFit="1" customWidth="1"/>
    <col min="9749" max="9749" width="12.33203125" style="13" customWidth="1"/>
    <col min="9750" max="9750" width="18.88671875" style="13" bestFit="1" customWidth="1"/>
    <col min="9751" max="9751" width="16.6640625" style="13" customWidth="1"/>
    <col min="9752" max="9752" width="19" style="13" bestFit="1" customWidth="1"/>
    <col min="9753" max="9753" width="9.109375" style="13"/>
    <col min="9754" max="9754" width="18.88671875" style="13" bestFit="1" customWidth="1"/>
    <col min="9755" max="9984" width="9.109375" style="13"/>
    <col min="9985" max="9985" width="10.5546875" style="13" bestFit="1" customWidth="1"/>
    <col min="9986" max="9986" width="44.109375" style="13" customWidth="1"/>
    <col min="9987" max="9987" width="14.6640625" style="13" customWidth="1"/>
    <col min="9988" max="9988" width="23.6640625" style="13" bestFit="1" customWidth="1"/>
    <col min="9989" max="9989" width="11.88671875" style="13" customWidth="1"/>
    <col min="9990" max="9990" width="20.6640625" style="13" customWidth="1"/>
    <col min="9991" max="9991" width="15.6640625" style="13" customWidth="1"/>
    <col min="9992" max="9993" width="16.109375" style="13" bestFit="1" customWidth="1"/>
    <col min="9994" max="9994" width="13.6640625" style="13" customWidth="1"/>
    <col min="9995" max="9995" width="12.6640625" style="13" bestFit="1" customWidth="1"/>
    <col min="9996" max="9996" width="15.5546875" style="13" customWidth="1"/>
    <col min="9997" max="9997" width="16.109375" style="13" bestFit="1" customWidth="1"/>
    <col min="9998" max="9998" width="13.33203125" style="13" bestFit="1" customWidth="1"/>
    <col min="9999" max="9999" width="16.33203125" style="13" bestFit="1" customWidth="1"/>
    <col min="10000" max="10000" width="9.33203125" style="13" bestFit="1" customWidth="1"/>
    <col min="10001" max="10001" width="13" style="13" bestFit="1" customWidth="1"/>
    <col min="10002" max="10002" width="20.109375" style="13" bestFit="1" customWidth="1"/>
    <col min="10003" max="10003" width="50.33203125" style="13" bestFit="1" customWidth="1"/>
    <col min="10004" max="10004" width="16.109375" style="13" bestFit="1" customWidth="1"/>
    <col min="10005" max="10005" width="12.33203125" style="13" customWidth="1"/>
    <col min="10006" max="10006" width="18.88671875" style="13" bestFit="1" customWidth="1"/>
    <col min="10007" max="10007" width="16.6640625" style="13" customWidth="1"/>
    <col min="10008" max="10008" width="19" style="13" bestFit="1" customWidth="1"/>
    <col min="10009" max="10009" width="9.109375" style="13"/>
    <col min="10010" max="10010" width="18.88671875" style="13" bestFit="1" customWidth="1"/>
    <col min="10011" max="10240" width="9.109375" style="13"/>
    <col min="10241" max="10241" width="10.5546875" style="13" bestFit="1" customWidth="1"/>
    <col min="10242" max="10242" width="44.109375" style="13" customWidth="1"/>
    <col min="10243" max="10243" width="14.6640625" style="13" customWidth="1"/>
    <col min="10244" max="10244" width="23.6640625" style="13" bestFit="1" customWidth="1"/>
    <col min="10245" max="10245" width="11.88671875" style="13" customWidth="1"/>
    <col min="10246" max="10246" width="20.6640625" style="13" customWidth="1"/>
    <col min="10247" max="10247" width="15.6640625" style="13" customWidth="1"/>
    <col min="10248" max="10249" width="16.109375" style="13" bestFit="1" customWidth="1"/>
    <col min="10250" max="10250" width="13.6640625" style="13" customWidth="1"/>
    <col min="10251" max="10251" width="12.6640625" style="13" bestFit="1" customWidth="1"/>
    <col min="10252" max="10252" width="15.5546875" style="13" customWidth="1"/>
    <col min="10253" max="10253" width="16.109375" style="13" bestFit="1" customWidth="1"/>
    <col min="10254" max="10254" width="13.33203125" style="13" bestFit="1" customWidth="1"/>
    <col min="10255" max="10255" width="16.33203125" style="13" bestFit="1" customWidth="1"/>
    <col min="10256" max="10256" width="9.33203125" style="13" bestFit="1" customWidth="1"/>
    <col min="10257" max="10257" width="13" style="13" bestFit="1" customWidth="1"/>
    <col min="10258" max="10258" width="20.109375" style="13" bestFit="1" customWidth="1"/>
    <col min="10259" max="10259" width="50.33203125" style="13" bestFit="1" customWidth="1"/>
    <col min="10260" max="10260" width="16.109375" style="13" bestFit="1" customWidth="1"/>
    <col min="10261" max="10261" width="12.33203125" style="13" customWidth="1"/>
    <col min="10262" max="10262" width="18.88671875" style="13" bestFit="1" customWidth="1"/>
    <col min="10263" max="10263" width="16.6640625" style="13" customWidth="1"/>
    <col min="10264" max="10264" width="19" style="13" bestFit="1" customWidth="1"/>
    <col min="10265" max="10265" width="9.109375" style="13"/>
    <col min="10266" max="10266" width="18.88671875" style="13" bestFit="1" customWidth="1"/>
    <col min="10267" max="10496" width="9.109375" style="13"/>
    <col min="10497" max="10497" width="10.5546875" style="13" bestFit="1" customWidth="1"/>
    <col min="10498" max="10498" width="44.109375" style="13" customWidth="1"/>
    <col min="10499" max="10499" width="14.6640625" style="13" customWidth="1"/>
    <col min="10500" max="10500" width="23.6640625" style="13" bestFit="1" customWidth="1"/>
    <col min="10501" max="10501" width="11.88671875" style="13" customWidth="1"/>
    <col min="10502" max="10502" width="20.6640625" style="13" customWidth="1"/>
    <col min="10503" max="10503" width="15.6640625" style="13" customWidth="1"/>
    <col min="10504" max="10505" width="16.109375" style="13" bestFit="1" customWidth="1"/>
    <col min="10506" max="10506" width="13.6640625" style="13" customWidth="1"/>
    <col min="10507" max="10507" width="12.6640625" style="13" bestFit="1" customWidth="1"/>
    <col min="10508" max="10508" width="15.5546875" style="13" customWidth="1"/>
    <col min="10509" max="10509" width="16.109375" style="13" bestFit="1" customWidth="1"/>
    <col min="10510" max="10510" width="13.33203125" style="13" bestFit="1" customWidth="1"/>
    <col min="10511" max="10511" width="16.33203125" style="13" bestFit="1" customWidth="1"/>
    <col min="10512" max="10512" width="9.33203125" style="13" bestFit="1" customWidth="1"/>
    <col min="10513" max="10513" width="13" style="13" bestFit="1" customWidth="1"/>
    <col min="10514" max="10514" width="20.109375" style="13" bestFit="1" customWidth="1"/>
    <col min="10515" max="10515" width="50.33203125" style="13" bestFit="1" customWidth="1"/>
    <col min="10516" max="10516" width="16.109375" style="13" bestFit="1" customWidth="1"/>
    <col min="10517" max="10517" width="12.33203125" style="13" customWidth="1"/>
    <col min="10518" max="10518" width="18.88671875" style="13" bestFit="1" customWidth="1"/>
    <col min="10519" max="10519" width="16.6640625" style="13" customWidth="1"/>
    <col min="10520" max="10520" width="19" style="13" bestFit="1" customWidth="1"/>
    <col min="10521" max="10521" width="9.109375" style="13"/>
    <col min="10522" max="10522" width="18.88671875" style="13" bestFit="1" customWidth="1"/>
    <col min="10523" max="10752" width="9.109375" style="13"/>
    <col min="10753" max="10753" width="10.5546875" style="13" bestFit="1" customWidth="1"/>
    <col min="10754" max="10754" width="44.109375" style="13" customWidth="1"/>
    <col min="10755" max="10755" width="14.6640625" style="13" customWidth="1"/>
    <col min="10756" max="10756" width="23.6640625" style="13" bestFit="1" customWidth="1"/>
    <col min="10757" max="10757" width="11.88671875" style="13" customWidth="1"/>
    <col min="10758" max="10758" width="20.6640625" style="13" customWidth="1"/>
    <col min="10759" max="10759" width="15.6640625" style="13" customWidth="1"/>
    <col min="10760" max="10761" width="16.109375" style="13" bestFit="1" customWidth="1"/>
    <col min="10762" max="10762" width="13.6640625" style="13" customWidth="1"/>
    <col min="10763" max="10763" width="12.6640625" style="13" bestFit="1" customWidth="1"/>
    <col min="10764" max="10764" width="15.5546875" style="13" customWidth="1"/>
    <col min="10765" max="10765" width="16.109375" style="13" bestFit="1" customWidth="1"/>
    <col min="10766" max="10766" width="13.33203125" style="13" bestFit="1" customWidth="1"/>
    <col min="10767" max="10767" width="16.33203125" style="13" bestFit="1" customWidth="1"/>
    <col min="10768" max="10768" width="9.33203125" style="13" bestFit="1" customWidth="1"/>
    <col min="10769" max="10769" width="13" style="13" bestFit="1" customWidth="1"/>
    <col min="10770" max="10770" width="20.109375" style="13" bestFit="1" customWidth="1"/>
    <col min="10771" max="10771" width="50.33203125" style="13" bestFit="1" customWidth="1"/>
    <col min="10772" max="10772" width="16.109375" style="13" bestFit="1" customWidth="1"/>
    <col min="10773" max="10773" width="12.33203125" style="13" customWidth="1"/>
    <col min="10774" max="10774" width="18.88671875" style="13" bestFit="1" customWidth="1"/>
    <col min="10775" max="10775" width="16.6640625" style="13" customWidth="1"/>
    <col min="10776" max="10776" width="19" style="13" bestFit="1" customWidth="1"/>
    <col min="10777" max="10777" width="9.109375" style="13"/>
    <col min="10778" max="10778" width="18.88671875" style="13" bestFit="1" customWidth="1"/>
    <col min="10779" max="11008" width="9.109375" style="13"/>
    <col min="11009" max="11009" width="10.5546875" style="13" bestFit="1" customWidth="1"/>
    <col min="11010" max="11010" width="44.109375" style="13" customWidth="1"/>
    <col min="11011" max="11011" width="14.6640625" style="13" customWidth="1"/>
    <col min="11012" max="11012" width="23.6640625" style="13" bestFit="1" customWidth="1"/>
    <col min="11013" max="11013" width="11.88671875" style="13" customWidth="1"/>
    <col min="11014" max="11014" width="20.6640625" style="13" customWidth="1"/>
    <col min="11015" max="11015" width="15.6640625" style="13" customWidth="1"/>
    <col min="11016" max="11017" width="16.109375" style="13" bestFit="1" customWidth="1"/>
    <col min="11018" max="11018" width="13.6640625" style="13" customWidth="1"/>
    <col min="11019" max="11019" width="12.6640625" style="13" bestFit="1" customWidth="1"/>
    <col min="11020" max="11020" width="15.5546875" style="13" customWidth="1"/>
    <col min="11021" max="11021" width="16.109375" style="13" bestFit="1" customWidth="1"/>
    <col min="11022" max="11022" width="13.33203125" style="13" bestFit="1" customWidth="1"/>
    <col min="11023" max="11023" width="16.33203125" style="13" bestFit="1" customWidth="1"/>
    <col min="11024" max="11024" width="9.33203125" style="13" bestFit="1" customWidth="1"/>
    <col min="11025" max="11025" width="13" style="13" bestFit="1" customWidth="1"/>
    <col min="11026" max="11026" width="20.109375" style="13" bestFit="1" customWidth="1"/>
    <col min="11027" max="11027" width="50.33203125" style="13" bestFit="1" customWidth="1"/>
    <col min="11028" max="11028" width="16.109375" style="13" bestFit="1" customWidth="1"/>
    <col min="11029" max="11029" width="12.33203125" style="13" customWidth="1"/>
    <col min="11030" max="11030" width="18.88671875" style="13" bestFit="1" customWidth="1"/>
    <col min="11031" max="11031" width="16.6640625" style="13" customWidth="1"/>
    <col min="11032" max="11032" width="19" style="13" bestFit="1" customWidth="1"/>
    <col min="11033" max="11033" width="9.109375" style="13"/>
    <col min="11034" max="11034" width="18.88671875" style="13" bestFit="1" customWidth="1"/>
    <col min="11035" max="11264" width="9.109375" style="13"/>
    <col min="11265" max="11265" width="10.5546875" style="13" bestFit="1" customWidth="1"/>
    <col min="11266" max="11266" width="44.109375" style="13" customWidth="1"/>
    <col min="11267" max="11267" width="14.6640625" style="13" customWidth="1"/>
    <col min="11268" max="11268" width="23.6640625" style="13" bestFit="1" customWidth="1"/>
    <col min="11269" max="11269" width="11.88671875" style="13" customWidth="1"/>
    <col min="11270" max="11270" width="20.6640625" style="13" customWidth="1"/>
    <col min="11271" max="11271" width="15.6640625" style="13" customWidth="1"/>
    <col min="11272" max="11273" width="16.109375" style="13" bestFit="1" customWidth="1"/>
    <col min="11274" max="11274" width="13.6640625" style="13" customWidth="1"/>
    <col min="11275" max="11275" width="12.6640625" style="13" bestFit="1" customWidth="1"/>
    <col min="11276" max="11276" width="15.5546875" style="13" customWidth="1"/>
    <col min="11277" max="11277" width="16.109375" style="13" bestFit="1" customWidth="1"/>
    <col min="11278" max="11278" width="13.33203125" style="13" bestFit="1" customWidth="1"/>
    <col min="11279" max="11279" width="16.33203125" style="13" bestFit="1" customWidth="1"/>
    <col min="11280" max="11280" width="9.33203125" style="13" bestFit="1" customWidth="1"/>
    <col min="11281" max="11281" width="13" style="13" bestFit="1" customWidth="1"/>
    <col min="11282" max="11282" width="20.109375" style="13" bestFit="1" customWidth="1"/>
    <col min="11283" max="11283" width="50.33203125" style="13" bestFit="1" customWidth="1"/>
    <col min="11284" max="11284" width="16.109375" style="13" bestFit="1" customWidth="1"/>
    <col min="11285" max="11285" width="12.33203125" style="13" customWidth="1"/>
    <col min="11286" max="11286" width="18.88671875" style="13" bestFit="1" customWidth="1"/>
    <col min="11287" max="11287" width="16.6640625" style="13" customWidth="1"/>
    <col min="11288" max="11288" width="19" style="13" bestFit="1" customWidth="1"/>
    <col min="11289" max="11289" width="9.109375" style="13"/>
    <col min="11290" max="11290" width="18.88671875" style="13" bestFit="1" customWidth="1"/>
    <col min="11291" max="11520" width="9.109375" style="13"/>
    <col min="11521" max="11521" width="10.5546875" style="13" bestFit="1" customWidth="1"/>
    <col min="11522" max="11522" width="44.109375" style="13" customWidth="1"/>
    <col min="11523" max="11523" width="14.6640625" style="13" customWidth="1"/>
    <col min="11524" max="11524" width="23.6640625" style="13" bestFit="1" customWidth="1"/>
    <col min="11525" max="11525" width="11.88671875" style="13" customWidth="1"/>
    <col min="11526" max="11526" width="20.6640625" style="13" customWidth="1"/>
    <col min="11527" max="11527" width="15.6640625" style="13" customWidth="1"/>
    <col min="11528" max="11529" width="16.109375" style="13" bestFit="1" customWidth="1"/>
    <col min="11530" max="11530" width="13.6640625" style="13" customWidth="1"/>
    <col min="11531" max="11531" width="12.6640625" style="13" bestFit="1" customWidth="1"/>
    <col min="11532" max="11532" width="15.5546875" style="13" customWidth="1"/>
    <col min="11533" max="11533" width="16.109375" style="13" bestFit="1" customWidth="1"/>
    <col min="11534" max="11534" width="13.33203125" style="13" bestFit="1" customWidth="1"/>
    <col min="11535" max="11535" width="16.33203125" style="13" bestFit="1" customWidth="1"/>
    <col min="11536" max="11536" width="9.33203125" style="13" bestFit="1" customWidth="1"/>
    <col min="11537" max="11537" width="13" style="13" bestFit="1" customWidth="1"/>
    <col min="11538" max="11538" width="20.109375" style="13" bestFit="1" customWidth="1"/>
    <col min="11539" max="11539" width="50.33203125" style="13" bestFit="1" customWidth="1"/>
    <col min="11540" max="11540" width="16.109375" style="13" bestFit="1" customWidth="1"/>
    <col min="11541" max="11541" width="12.33203125" style="13" customWidth="1"/>
    <col min="11542" max="11542" width="18.88671875" style="13" bestFit="1" customWidth="1"/>
    <col min="11543" max="11543" width="16.6640625" style="13" customWidth="1"/>
    <col min="11544" max="11544" width="19" style="13" bestFit="1" customWidth="1"/>
    <col min="11545" max="11545" width="9.109375" style="13"/>
    <col min="11546" max="11546" width="18.88671875" style="13" bestFit="1" customWidth="1"/>
    <col min="11547" max="11776" width="9.109375" style="13"/>
    <col min="11777" max="11777" width="10.5546875" style="13" bestFit="1" customWidth="1"/>
    <col min="11778" max="11778" width="44.109375" style="13" customWidth="1"/>
    <col min="11779" max="11779" width="14.6640625" style="13" customWidth="1"/>
    <col min="11780" max="11780" width="23.6640625" style="13" bestFit="1" customWidth="1"/>
    <col min="11781" max="11781" width="11.88671875" style="13" customWidth="1"/>
    <col min="11782" max="11782" width="20.6640625" style="13" customWidth="1"/>
    <col min="11783" max="11783" width="15.6640625" style="13" customWidth="1"/>
    <col min="11784" max="11785" width="16.109375" style="13" bestFit="1" customWidth="1"/>
    <col min="11786" max="11786" width="13.6640625" style="13" customWidth="1"/>
    <col min="11787" max="11787" width="12.6640625" style="13" bestFit="1" customWidth="1"/>
    <col min="11788" max="11788" width="15.5546875" style="13" customWidth="1"/>
    <col min="11789" max="11789" width="16.109375" style="13" bestFit="1" customWidth="1"/>
    <col min="11790" max="11790" width="13.33203125" style="13" bestFit="1" customWidth="1"/>
    <col min="11791" max="11791" width="16.33203125" style="13" bestFit="1" customWidth="1"/>
    <col min="11792" max="11792" width="9.33203125" style="13" bestFit="1" customWidth="1"/>
    <col min="11793" max="11793" width="13" style="13" bestFit="1" customWidth="1"/>
    <col min="11794" max="11794" width="20.109375" style="13" bestFit="1" customWidth="1"/>
    <col min="11795" max="11795" width="50.33203125" style="13" bestFit="1" customWidth="1"/>
    <col min="11796" max="11796" width="16.109375" style="13" bestFit="1" customWidth="1"/>
    <col min="11797" max="11797" width="12.33203125" style="13" customWidth="1"/>
    <col min="11798" max="11798" width="18.88671875" style="13" bestFit="1" customWidth="1"/>
    <col min="11799" max="11799" width="16.6640625" style="13" customWidth="1"/>
    <col min="11800" max="11800" width="19" style="13" bestFit="1" customWidth="1"/>
    <col min="11801" max="11801" width="9.109375" style="13"/>
    <col min="11802" max="11802" width="18.88671875" style="13" bestFit="1" customWidth="1"/>
    <col min="11803" max="12032" width="9.109375" style="13"/>
    <col min="12033" max="12033" width="10.5546875" style="13" bestFit="1" customWidth="1"/>
    <col min="12034" max="12034" width="44.109375" style="13" customWidth="1"/>
    <col min="12035" max="12035" width="14.6640625" style="13" customWidth="1"/>
    <col min="12036" max="12036" width="23.6640625" style="13" bestFit="1" customWidth="1"/>
    <col min="12037" max="12037" width="11.88671875" style="13" customWidth="1"/>
    <col min="12038" max="12038" width="20.6640625" style="13" customWidth="1"/>
    <col min="12039" max="12039" width="15.6640625" style="13" customWidth="1"/>
    <col min="12040" max="12041" width="16.109375" style="13" bestFit="1" customWidth="1"/>
    <col min="12042" max="12042" width="13.6640625" style="13" customWidth="1"/>
    <col min="12043" max="12043" width="12.6640625" style="13" bestFit="1" customWidth="1"/>
    <col min="12044" max="12044" width="15.5546875" style="13" customWidth="1"/>
    <col min="12045" max="12045" width="16.109375" style="13" bestFit="1" customWidth="1"/>
    <col min="12046" max="12046" width="13.33203125" style="13" bestFit="1" customWidth="1"/>
    <col min="12047" max="12047" width="16.33203125" style="13" bestFit="1" customWidth="1"/>
    <col min="12048" max="12048" width="9.33203125" style="13" bestFit="1" customWidth="1"/>
    <col min="12049" max="12049" width="13" style="13" bestFit="1" customWidth="1"/>
    <col min="12050" max="12050" width="20.109375" style="13" bestFit="1" customWidth="1"/>
    <col min="12051" max="12051" width="50.33203125" style="13" bestFit="1" customWidth="1"/>
    <col min="12052" max="12052" width="16.109375" style="13" bestFit="1" customWidth="1"/>
    <col min="12053" max="12053" width="12.33203125" style="13" customWidth="1"/>
    <col min="12054" max="12054" width="18.88671875" style="13" bestFit="1" customWidth="1"/>
    <col min="12055" max="12055" width="16.6640625" style="13" customWidth="1"/>
    <col min="12056" max="12056" width="19" style="13" bestFit="1" customWidth="1"/>
    <col min="12057" max="12057" width="9.109375" style="13"/>
    <col min="12058" max="12058" width="18.88671875" style="13" bestFit="1" customWidth="1"/>
    <col min="12059" max="12288" width="9.109375" style="13"/>
    <col min="12289" max="12289" width="10.5546875" style="13" bestFit="1" customWidth="1"/>
    <col min="12290" max="12290" width="44.109375" style="13" customWidth="1"/>
    <col min="12291" max="12291" width="14.6640625" style="13" customWidth="1"/>
    <col min="12292" max="12292" width="23.6640625" style="13" bestFit="1" customWidth="1"/>
    <col min="12293" max="12293" width="11.88671875" style="13" customWidth="1"/>
    <col min="12294" max="12294" width="20.6640625" style="13" customWidth="1"/>
    <col min="12295" max="12295" width="15.6640625" style="13" customWidth="1"/>
    <col min="12296" max="12297" width="16.109375" style="13" bestFit="1" customWidth="1"/>
    <col min="12298" max="12298" width="13.6640625" style="13" customWidth="1"/>
    <col min="12299" max="12299" width="12.6640625" style="13" bestFit="1" customWidth="1"/>
    <col min="12300" max="12300" width="15.5546875" style="13" customWidth="1"/>
    <col min="12301" max="12301" width="16.109375" style="13" bestFit="1" customWidth="1"/>
    <col min="12302" max="12302" width="13.33203125" style="13" bestFit="1" customWidth="1"/>
    <col min="12303" max="12303" width="16.33203125" style="13" bestFit="1" customWidth="1"/>
    <col min="12304" max="12304" width="9.33203125" style="13" bestFit="1" customWidth="1"/>
    <col min="12305" max="12305" width="13" style="13" bestFit="1" customWidth="1"/>
    <col min="12306" max="12306" width="20.109375" style="13" bestFit="1" customWidth="1"/>
    <col min="12307" max="12307" width="50.33203125" style="13" bestFit="1" customWidth="1"/>
    <col min="12308" max="12308" width="16.109375" style="13" bestFit="1" customWidth="1"/>
    <col min="12309" max="12309" width="12.33203125" style="13" customWidth="1"/>
    <col min="12310" max="12310" width="18.88671875" style="13" bestFit="1" customWidth="1"/>
    <col min="12311" max="12311" width="16.6640625" style="13" customWidth="1"/>
    <col min="12312" max="12312" width="19" style="13" bestFit="1" customWidth="1"/>
    <col min="12313" max="12313" width="9.109375" style="13"/>
    <col min="12314" max="12314" width="18.88671875" style="13" bestFit="1" customWidth="1"/>
    <col min="12315" max="12544" width="9.109375" style="13"/>
    <col min="12545" max="12545" width="10.5546875" style="13" bestFit="1" customWidth="1"/>
    <col min="12546" max="12546" width="44.109375" style="13" customWidth="1"/>
    <col min="12547" max="12547" width="14.6640625" style="13" customWidth="1"/>
    <col min="12548" max="12548" width="23.6640625" style="13" bestFit="1" customWidth="1"/>
    <col min="12549" max="12549" width="11.88671875" style="13" customWidth="1"/>
    <col min="12550" max="12550" width="20.6640625" style="13" customWidth="1"/>
    <col min="12551" max="12551" width="15.6640625" style="13" customWidth="1"/>
    <col min="12552" max="12553" width="16.109375" style="13" bestFit="1" customWidth="1"/>
    <col min="12554" max="12554" width="13.6640625" style="13" customWidth="1"/>
    <col min="12555" max="12555" width="12.6640625" style="13" bestFit="1" customWidth="1"/>
    <col min="12556" max="12556" width="15.5546875" style="13" customWidth="1"/>
    <col min="12557" max="12557" width="16.109375" style="13" bestFit="1" customWidth="1"/>
    <col min="12558" max="12558" width="13.33203125" style="13" bestFit="1" customWidth="1"/>
    <col min="12559" max="12559" width="16.33203125" style="13" bestFit="1" customWidth="1"/>
    <col min="12560" max="12560" width="9.33203125" style="13" bestFit="1" customWidth="1"/>
    <col min="12561" max="12561" width="13" style="13" bestFit="1" customWidth="1"/>
    <col min="12562" max="12562" width="20.109375" style="13" bestFit="1" customWidth="1"/>
    <col min="12563" max="12563" width="50.33203125" style="13" bestFit="1" customWidth="1"/>
    <col min="12564" max="12564" width="16.109375" style="13" bestFit="1" customWidth="1"/>
    <col min="12565" max="12565" width="12.33203125" style="13" customWidth="1"/>
    <col min="12566" max="12566" width="18.88671875" style="13" bestFit="1" customWidth="1"/>
    <col min="12567" max="12567" width="16.6640625" style="13" customWidth="1"/>
    <col min="12568" max="12568" width="19" style="13" bestFit="1" customWidth="1"/>
    <col min="12569" max="12569" width="9.109375" style="13"/>
    <col min="12570" max="12570" width="18.88671875" style="13" bestFit="1" customWidth="1"/>
    <col min="12571" max="12800" width="9.109375" style="13"/>
    <col min="12801" max="12801" width="10.5546875" style="13" bestFit="1" customWidth="1"/>
    <col min="12802" max="12802" width="44.109375" style="13" customWidth="1"/>
    <col min="12803" max="12803" width="14.6640625" style="13" customWidth="1"/>
    <col min="12804" max="12804" width="23.6640625" style="13" bestFit="1" customWidth="1"/>
    <col min="12805" max="12805" width="11.88671875" style="13" customWidth="1"/>
    <col min="12806" max="12806" width="20.6640625" style="13" customWidth="1"/>
    <col min="12807" max="12807" width="15.6640625" style="13" customWidth="1"/>
    <col min="12808" max="12809" width="16.109375" style="13" bestFit="1" customWidth="1"/>
    <col min="12810" max="12810" width="13.6640625" style="13" customWidth="1"/>
    <col min="12811" max="12811" width="12.6640625" style="13" bestFit="1" customWidth="1"/>
    <col min="12812" max="12812" width="15.5546875" style="13" customWidth="1"/>
    <col min="12813" max="12813" width="16.109375" style="13" bestFit="1" customWidth="1"/>
    <col min="12814" max="12814" width="13.33203125" style="13" bestFit="1" customWidth="1"/>
    <col min="12815" max="12815" width="16.33203125" style="13" bestFit="1" customWidth="1"/>
    <col min="12816" max="12816" width="9.33203125" style="13" bestFit="1" customWidth="1"/>
    <col min="12817" max="12817" width="13" style="13" bestFit="1" customWidth="1"/>
    <col min="12818" max="12818" width="20.109375" style="13" bestFit="1" customWidth="1"/>
    <col min="12819" max="12819" width="50.33203125" style="13" bestFit="1" customWidth="1"/>
    <col min="12820" max="12820" width="16.109375" style="13" bestFit="1" customWidth="1"/>
    <col min="12821" max="12821" width="12.33203125" style="13" customWidth="1"/>
    <col min="12822" max="12822" width="18.88671875" style="13" bestFit="1" customWidth="1"/>
    <col min="12823" max="12823" width="16.6640625" style="13" customWidth="1"/>
    <col min="12824" max="12824" width="19" style="13" bestFit="1" customWidth="1"/>
    <col min="12825" max="12825" width="9.109375" style="13"/>
    <col min="12826" max="12826" width="18.88671875" style="13" bestFit="1" customWidth="1"/>
    <col min="12827" max="13056" width="9.109375" style="13"/>
    <col min="13057" max="13057" width="10.5546875" style="13" bestFit="1" customWidth="1"/>
    <col min="13058" max="13058" width="44.109375" style="13" customWidth="1"/>
    <col min="13059" max="13059" width="14.6640625" style="13" customWidth="1"/>
    <col min="13060" max="13060" width="23.6640625" style="13" bestFit="1" customWidth="1"/>
    <col min="13061" max="13061" width="11.88671875" style="13" customWidth="1"/>
    <col min="13062" max="13062" width="20.6640625" style="13" customWidth="1"/>
    <col min="13063" max="13063" width="15.6640625" style="13" customWidth="1"/>
    <col min="13064" max="13065" width="16.109375" style="13" bestFit="1" customWidth="1"/>
    <col min="13066" max="13066" width="13.6640625" style="13" customWidth="1"/>
    <col min="13067" max="13067" width="12.6640625" style="13" bestFit="1" customWidth="1"/>
    <col min="13068" max="13068" width="15.5546875" style="13" customWidth="1"/>
    <col min="13069" max="13069" width="16.109375" style="13" bestFit="1" customWidth="1"/>
    <col min="13070" max="13070" width="13.33203125" style="13" bestFit="1" customWidth="1"/>
    <col min="13071" max="13071" width="16.33203125" style="13" bestFit="1" customWidth="1"/>
    <col min="13072" max="13072" width="9.33203125" style="13" bestFit="1" customWidth="1"/>
    <col min="13073" max="13073" width="13" style="13" bestFit="1" customWidth="1"/>
    <col min="13074" max="13074" width="20.109375" style="13" bestFit="1" customWidth="1"/>
    <col min="13075" max="13075" width="50.33203125" style="13" bestFit="1" customWidth="1"/>
    <col min="13076" max="13076" width="16.109375" style="13" bestFit="1" customWidth="1"/>
    <col min="13077" max="13077" width="12.33203125" style="13" customWidth="1"/>
    <col min="13078" max="13078" width="18.88671875" style="13" bestFit="1" customWidth="1"/>
    <col min="13079" max="13079" width="16.6640625" style="13" customWidth="1"/>
    <col min="13080" max="13080" width="19" style="13" bestFit="1" customWidth="1"/>
    <col min="13081" max="13081" width="9.109375" style="13"/>
    <col min="13082" max="13082" width="18.88671875" style="13" bestFit="1" customWidth="1"/>
    <col min="13083" max="13312" width="9.109375" style="13"/>
    <col min="13313" max="13313" width="10.5546875" style="13" bestFit="1" customWidth="1"/>
    <col min="13314" max="13314" width="44.109375" style="13" customWidth="1"/>
    <col min="13315" max="13315" width="14.6640625" style="13" customWidth="1"/>
    <col min="13316" max="13316" width="23.6640625" style="13" bestFit="1" customWidth="1"/>
    <col min="13317" max="13317" width="11.88671875" style="13" customWidth="1"/>
    <col min="13318" max="13318" width="20.6640625" style="13" customWidth="1"/>
    <col min="13319" max="13319" width="15.6640625" style="13" customWidth="1"/>
    <col min="13320" max="13321" width="16.109375" style="13" bestFit="1" customWidth="1"/>
    <col min="13322" max="13322" width="13.6640625" style="13" customWidth="1"/>
    <col min="13323" max="13323" width="12.6640625" style="13" bestFit="1" customWidth="1"/>
    <col min="13324" max="13324" width="15.5546875" style="13" customWidth="1"/>
    <col min="13325" max="13325" width="16.109375" style="13" bestFit="1" customWidth="1"/>
    <col min="13326" max="13326" width="13.33203125" style="13" bestFit="1" customWidth="1"/>
    <col min="13327" max="13327" width="16.33203125" style="13" bestFit="1" customWidth="1"/>
    <col min="13328" max="13328" width="9.33203125" style="13" bestFit="1" customWidth="1"/>
    <col min="13329" max="13329" width="13" style="13" bestFit="1" customWidth="1"/>
    <col min="13330" max="13330" width="20.109375" style="13" bestFit="1" customWidth="1"/>
    <col min="13331" max="13331" width="50.33203125" style="13" bestFit="1" customWidth="1"/>
    <col min="13332" max="13332" width="16.109375" style="13" bestFit="1" customWidth="1"/>
    <col min="13333" max="13333" width="12.33203125" style="13" customWidth="1"/>
    <col min="13334" max="13334" width="18.88671875" style="13" bestFit="1" customWidth="1"/>
    <col min="13335" max="13335" width="16.6640625" style="13" customWidth="1"/>
    <col min="13336" max="13336" width="19" style="13" bestFit="1" customWidth="1"/>
    <col min="13337" max="13337" width="9.109375" style="13"/>
    <col min="13338" max="13338" width="18.88671875" style="13" bestFit="1" customWidth="1"/>
    <col min="13339" max="13568" width="9.109375" style="13"/>
    <col min="13569" max="13569" width="10.5546875" style="13" bestFit="1" customWidth="1"/>
    <col min="13570" max="13570" width="44.109375" style="13" customWidth="1"/>
    <col min="13571" max="13571" width="14.6640625" style="13" customWidth="1"/>
    <col min="13572" max="13572" width="23.6640625" style="13" bestFit="1" customWidth="1"/>
    <col min="13573" max="13573" width="11.88671875" style="13" customWidth="1"/>
    <col min="13574" max="13574" width="20.6640625" style="13" customWidth="1"/>
    <col min="13575" max="13575" width="15.6640625" style="13" customWidth="1"/>
    <col min="13576" max="13577" width="16.109375" style="13" bestFit="1" customWidth="1"/>
    <col min="13578" max="13578" width="13.6640625" style="13" customWidth="1"/>
    <col min="13579" max="13579" width="12.6640625" style="13" bestFit="1" customWidth="1"/>
    <col min="13580" max="13580" width="15.5546875" style="13" customWidth="1"/>
    <col min="13581" max="13581" width="16.109375" style="13" bestFit="1" customWidth="1"/>
    <col min="13582" max="13582" width="13.33203125" style="13" bestFit="1" customWidth="1"/>
    <col min="13583" max="13583" width="16.33203125" style="13" bestFit="1" customWidth="1"/>
    <col min="13584" max="13584" width="9.33203125" style="13" bestFit="1" customWidth="1"/>
    <col min="13585" max="13585" width="13" style="13" bestFit="1" customWidth="1"/>
    <col min="13586" max="13586" width="20.109375" style="13" bestFit="1" customWidth="1"/>
    <col min="13587" max="13587" width="50.33203125" style="13" bestFit="1" customWidth="1"/>
    <col min="13588" max="13588" width="16.109375" style="13" bestFit="1" customWidth="1"/>
    <col min="13589" max="13589" width="12.33203125" style="13" customWidth="1"/>
    <col min="13590" max="13590" width="18.88671875" style="13" bestFit="1" customWidth="1"/>
    <col min="13591" max="13591" width="16.6640625" style="13" customWidth="1"/>
    <col min="13592" max="13592" width="19" style="13" bestFit="1" customWidth="1"/>
    <col min="13593" max="13593" width="9.109375" style="13"/>
    <col min="13594" max="13594" width="18.88671875" style="13" bestFit="1" customWidth="1"/>
    <col min="13595" max="13824" width="9.109375" style="13"/>
    <col min="13825" max="13825" width="10.5546875" style="13" bestFit="1" customWidth="1"/>
    <col min="13826" max="13826" width="44.109375" style="13" customWidth="1"/>
    <col min="13827" max="13827" width="14.6640625" style="13" customWidth="1"/>
    <col min="13828" max="13828" width="23.6640625" style="13" bestFit="1" customWidth="1"/>
    <col min="13829" max="13829" width="11.88671875" style="13" customWidth="1"/>
    <col min="13830" max="13830" width="20.6640625" style="13" customWidth="1"/>
    <col min="13831" max="13831" width="15.6640625" style="13" customWidth="1"/>
    <col min="13832" max="13833" width="16.109375" style="13" bestFit="1" customWidth="1"/>
    <col min="13834" max="13834" width="13.6640625" style="13" customWidth="1"/>
    <col min="13835" max="13835" width="12.6640625" style="13" bestFit="1" customWidth="1"/>
    <col min="13836" max="13836" width="15.5546875" style="13" customWidth="1"/>
    <col min="13837" max="13837" width="16.109375" style="13" bestFit="1" customWidth="1"/>
    <col min="13838" max="13838" width="13.33203125" style="13" bestFit="1" customWidth="1"/>
    <col min="13839" max="13839" width="16.33203125" style="13" bestFit="1" customWidth="1"/>
    <col min="13840" max="13840" width="9.33203125" style="13" bestFit="1" customWidth="1"/>
    <col min="13841" max="13841" width="13" style="13" bestFit="1" customWidth="1"/>
    <col min="13842" max="13842" width="20.109375" style="13" bestFit="1" customWidth="1"/>
    <col min="13843" max="13843" width="50.33203125" style="13" bestFit="1" customWidth="1"/>
    <col min="13844" max="13844" width="16.109375" style="13" bestFit="1" customWidth="1"/>
    <col min="13845" max="13845" width="12.33203125" style="13" customWidth="1"/>
    <col min="13846" max="13846" width="18.88671875" style="13" bestFit="1" customWidth="1"/>
    <col min="13847" max="13847" width="16.6640625" style="13" customWidth="1"/>
    <col min="13848" max="13848" width="19" style="13" bestFit="1" customWidth="1"/>
    <col min="13849" max="13849" width="9.109375" style="13"/>
    <col min="13850" max="13850" width="18.88671875" style="13" bestFit="1" customWidth="1"/>
    <col min="13851" max="14080" width="9.109375" style="13"/>
    <col min="14081" max="14081" width="10.5546875" style="13" bestFit="1" customWidth="1"/>
    <col min="14082" max="14082" width="44.109375" style="13" customWidth="1"/>
    <col min="14083" max="14083" width="14.6640625" style="13" customWidth="1"/>
    <col min="14084" max="14084" width="23.6640625" style="13" bestFit="1" customWidth="1"/>
    <col min="14085" max="14085" width="11.88671875" style="13" customWidth="1"/>
    <col min="14086" max="14086" width="20.6640625" style="13" customWidth="1"/>
    <col min="14087" max="14087" width="15.6640625" style="13" customWidth="1"/>
    <col min="14088" max="14089" width="16.109375" style="13" bestFit="1" customWidth="1"/>
    <col min="14090" max="14090" width="13.6640625" style="13" customWidth="1"/>
    <col min="14091" max="14091" width="12.6640625" style="13" bestFit="1" customWidth="1"/>
    <col min="14092" max="14092" width="15.5546875" style="13" customWidth="1"/>
    <col min="14093" max="14093" width="16.109375" style="13" bestFit="1" customWidth="1"/>
    <col min="14094" max="14094" width="13.33203125" style="13" bestFit="1" customWidth="1"/>
    <col min="14095" max="14095" width="16.33203125" style="13" bestFit="1" customWidth="1"/>
    <col min="14096" max="14096" width="9.33203125" style="13" bestFit="1" customWidth="1"/>
    <col min="14097" max="14097" width="13" style="13" bestFit="1" customWidth="1"/>
    <col min="14098" max="14098" width="20.109375" style="13" bestFit="1" customWidth="1"/>
    <col min="14099" max="14099" width="50.33203125" style="13" bestFit="1" customWidth="1"/>
    <col min="14100" max="14100" width="16.109375" style="13" bestFit="1" customWidth="1"/>
    <col min="14101" max="14101" width="12.33203125" style="13" customWidth="1"/>
    <col min="14102" max="14102" width="18.88671875" style="13" bestFit="1" customWidth="1"/>
    <col min="14103" max="14103" width="16.6640625" style="13" customWidth="1"/>
    <col min="14104" max="14104" width="19" style="13" bestFit="1" customWidth="1"/>
    <col min="14105" max="14105" width="9.109375" style="13"/>
    <col min="14106" max="14106" width="18.88671875" style="13" bestFit="1" customWidth="1"/>
    <col min="14107" max="14336" width="9.109375" style="13"/>
    <col min="14337" max="14337" width="10.5546875" style="13" bestFit="1" customWidth="1"/>
    <col min="14338" max="14338" width="44.109375" style="13" customWidth="1"/>
    <col min="14339" max="14339" width="14.6640625" style="13" customWidth="1"/>
    <col min="14340" max="14340" width="23.6640625" style="13" bestFit="1" customWidth="1"/>
    <col min="14341" max="14341" width="11.88671875" style="13" customWidth="1"/>
    <col min="14342" max="14342" width="20.6640625" style="13" customWidth="1"/>
    <col min="14343" max="14343" width="15.6640625" style="13" customWidth="1"/>
    <col min="14344" max="14345" width="16.109375" style="13" bestFit="1" customWidth="1"/>
    <col min="14346" max="14346" width="13.6640625" style="13" customWidth="1"/>
    <col min="14347" max="14347" width="12.6640625" style="13" bestFit="1" customWidth="1"/>
    <col min="14348" max="14348" width="15.5546875" style="13" customWidth="1"/>
    <col min="14349" max="14349" width="16.109375" style="13" bestFit="1" customWidth="1"/>
    <col min="14350" max="14350" width="13.33203125" style="13" bestFit="1" customWidth="1"/>
    <col min="14351" max="14351" width="16.33203125" style="13" bestFit="1" customWidth="1"/>
    <col min="14352" max="14352" width="9.33203125" style="13" bestFit="1" customWidth="1"/>
    <col min="14353" max="14353" width="13" style="13" bestFit="1" customWidth="1"/>
    <col min="14354" max="14354" width="20.109375" style="13" bestFit="1" customWidth="1"/>
    <col min="14355" max="14355" width="50.33203125" style="13" bestFit="1" customWidth="1"/>
    <col min="14356" max="14356" width="16.109375" style="13" bestFit="1" customWidth="1"/>
    <col min="14357" max="14357" width="12.33203125" style="13" customWidth="1"/>
    <col min="14358" max="14358" width="18.88671875" style="13" bestFit="1" customWidth="1"/>
    <col min="14359" max="14359" width="16.6640625" style="13" customWidth="1"/>
    <col min="14360" max="14360" width="19" style="13" bestFit="1" customWidth="1"/>
    <col min="14361" max="14361" width="9.109375" style="13"/>
    <col min="14362" max="14362" width="18.88671875" style="13" bestFit="1" customWidth="1"/>
    <col min="14363" max="14592" width="9.109375" style="13"/>
    <col min="14593" max="14593" width="10.5546875" style="13" bestFit="1" customWidth="1"/>
    <col min="14594" max="14594" width="44.109375" style="13" customWidth="1"/>
    <col min="14595" max="14595" width="14.6640625" style="13" customWidth="1"/>
    <col min="14596" max="14596" width="23.6640625" style="13" bestFit="1" customWidth="1"/>
    <col min="14597" max="14597" width="11.88671875" style="13" customWidth="1"/>
    <col min="14598" max="14598" width="20.6640625" style="13" customWidth="1"/>
    <col min="14599" max="14599" width="15.6640625" style="13" customWidth="1"/>
    <col min="14600" max="14601" width="16.109375" style="13" bestFit="1" customWidth="1"/>
    <col min="14602" max="14602" width="13.6640625" style="13" customWidth="1"/>
    <col min="14603" max="14603" width="12.6640625" style="13" bestFit="1" customWidth="1"/>
    <col min="14604" max="14604" width="15.5546875" style="13" customWidth="1"/>
    <col min="14605" max="14605" width="16.109375" style="13" bestFit="1" customWidth="1"/>
    <col min="14606" max="14606" width="13.33203125" style="13" bestFit="1" customWidth="1"/>
    <col min="14607" max="14607" width="16.33203125" style="13" bestFit="1" customWidth="1"/>
    <col min="14608" max="14608" width="9.33203125" style="13" bestFit="1" customWidth="1"/>
    <col min="14609" max="14609" width="13" style="13" bestFit="1" customWidth="1"/>
    <col min="14610" max="14610" width="20.109375" style="13" bestFit="1" customWidth="1"/>
    <col min="14611" max="14611" width="50.33203125" style="13" bestFit="1" customWidth="1"/>
    <col min="14612" max="14612" width="16.109375" style="13" bestFit="1" customWidth="1"/>
    <col min="14613" max="14613" width="12.33203125" style="13" customWidth="1"/>
    <col min="14614" max="14614" width="18.88671875" style="13" bestFit="1" customWidth="1"/>
    <col min="14615" max="14615" width="16.6640625" style="13" customWidth="1"/>
    <col min="14616" max="14616" width="19" style="13" bestFit="1" customWidth="1"/>
    <col min="14617" max="14617" width="9.109375" style="13"/>
    <col min="14618" max="14618" width="18.88671875" style="13" bestFit="1" customWidth="1"/>
    <col min="14619" max="14848" width="9.109375" style="13"/>
    <col min="14849" max="14849" width="10.5546875" style="13" bestFit="1" customWidth="1"/>
    <col min="14850" max="14850" width="44.109375" style="13" customWidth="1"/>
    <col min="14851" max="14851" width="14.6640625" style="13" customWidth="1"/>
    <col min="14852" max="14852" width="23.6640625" style="13" bestFit="1" customWidth="1"/>
    <col min="14853" max="14853" width="11.88671875" style="13" customWidth="1"/>
    <col min="14854" max="14854" width="20.6640625" style="13" customWidth="1"/>
    <col min="14855" max="14855" width="15.6640625" style="13" customWidth="1"/>
    <col min="14856" max="14857" width="16.109375" style="13" bestFit="1" customWidth="1"/>
    <col min="14858" max="14858" width="13.6640625" style="13" customWidth="1"/>
    <col min="14859" max="14859" width="12.6640625" style="13" bestFit="1" customWidth="1"/>
    <col min="14860" max="14860" width="15.5546875" style="13" customWidth="1"/>
    <col min="14861" max="14861" width="16.109375" style="13" bestFit="1" customWidth="1"/>
    <col min="14862" max="14862" width="13.33203125" style="13" bestFit="1" customWidth="1"/>
    <col min="14863" max="14863" width="16.33203125" style="13" bestFit="1" customWidth="1"/>
    <col min="14864" max="14864" width="9.33203125" style="13" bestFit="1" customWidth="1"/>
    <col min="14865" max="14865" width="13" style="13" bestFit="1" customWidth="1"/>
    <col min="14866" max="14866" width="20.109375" style="13" bestFit="1" customWidth="1"/>
    <col min="14867" max="14867" width="50.33203125" style="13" bestFit="1" customWidth="1"/>
    <col min="14868" max="14868" width="16.109375" style="13" bestFit="1" customWidth="1"/>
    <col min="14869" max="14869" width="12.33203125" style="13" customWidth="1"/>
    <col min="14870" max="14870" width="18.88671875" style="13" bestFit="1" customWidth="1"/>
    <col min="14871" max="14871" width="16.6640625" style="13" customWidth="1"/>
    <col min="14872" max="14872" width="19" style="13" bestFit="1" customWidth="1"/>
    <col min="14873" max="14873" width="9.109375" style="13"/>
    <col min="14874" max="14874" width="18.88671875" style="13" bestFit="1" customWidth="1"/>
    <col min="14875" max="15104" width="9.109375" style="13"/>
    <col min="15105" max="15105" width="10.5546875" style="13" bestFit="1" customWidth="1"/>
    <col min="15106" max="15106" width="44.109375" style="13" customWidth="1"/>
    <col min="15107" max="15107" width="14.6640625" style="13" customWidth="1"/>
    <col min="15108" max="15108" width="23.6640625" style="13" bestFit="1" customWidth="1"/>
    <col min="15109" max="15109" width="11.88671875" style="13" customWidth="1"/>
    <col min="15110" max="15110" width="20.6640625" style="13" customWidth="1"/>
    <col min="15111" max="15111" width="15.6640625" style="13" customWidth="1"/>
    <col min="15112" max="15113" width="16.109375" style="13" bestFit="1" customWidth="1"/>
    <col min="15114" max="15114" width="13.6640625" style="13" customWidth="1"/>
    <col min="15115" max="15115" width="12.6640625" style="13" bestFit="1" customWidth="1"/>
    <col min="15116" max="15116" width="15.5546875" style="13" customWidth="1"/>
    <col min="15117" max="15117" width="16.109375" style="13" bestFit="1" customWidth="1"/>
    <col min="15118" max="15118" width="13.33203125" style="13" bestFit="1" customWidth="1"/>
    <col min="15119" max="15119" width="16.33203125" style="13" bestFit="1" customWidth="1"/>
    <col min="15120" max="15120" width="9.33203125" style="13" bestFit="1" customWidth="1"/>
    <col min="15121" max="15121" width="13" style="13" bestFit="1" customWidth="1"/>
    <col min="15122" max="15122" width="20.109375" style="13" bestFit="1" customWidth="1"/>
    <col min="15123" max="15123" width="50.33203125" style="13" bestFit="1" customWidth="1"/>
    <col min="15124" max="15124" width="16.109375" style="13" bestFit="1" customWidth="1"/>
    <col min="15125" max="15125" width="12.33203125" style="13" customWidth="1"/>
    <col min="15126" max="15126" width="18.88671875" style="13" bestFit="1" customWidth="1"/>
    <col min="15127" max="15127" width="16.6640625" style="13" customWidth="1"/>
    <col min="15128" max="15128" width="19" style="13" bestFit="1" customWidth="1"/>
    <col min="15129" max="15129" width="9.109375" style="13"/>
    <col min="15130" max="15130" width="18.88671875" style="13" bestFit="1" customWidth="1"/>
    <col min="15131" max="15360" width="9.109375" style="13"/>
    <col min="15361" max="15361" width="10.5546875" style="13" bestFit="1" customWidth="1"/>
    <col min="15362" max="15362" width="44.109375" style="13" customWidth="1"/>
    <col min="15363" max="15363" width="14.6640625" style="13" customWidth="1"/>
    <col min="15364" max="15364" width="23.6640625" style="13" bestFit="1" customWidth="1"/>
    <col min="15365" max="15365" width="11.88671875" style="13" customWidth="1"/>
    <col min="15366" max="15366" width="20.6640625" style="13" customWidth="1"/>
    <col min="15367" max="15367" width="15.6640625" style="13" customWidth="1"/>
    <col min="15368" max="15369" width="16.109375" style="13" bestFit="1" customWidth="1"/>
    <col min="15370" max="15370" width="13.6640625" style="13" customWidth="1"/>
    <col min="15371" max="15371" width="12.6640625" style="13" bestFit="1" customWidth="1"/>
    <col min="15372" max="15372" width="15.5546875" style="13" customWidth="1"/>
    <col min="15373" max="15373" width="16.109375" style="13" bestFit="1" customWidth="1"/>
    <col min="15374" max="15374" width="13.33203125" style="13" bestFit="1" customWidth="1"/>
    <col min="15375" max="15375" width="16.33203125" style="13" bestFit="1" customWidth="1"/>
    <col min="15376" max="15376" width="9.33203125" style="13" bestFit="1" customWidth="1"/>
    <col min="15377" max="15377" width="13" style="13" bestFit="1" customWidth="1"/>
    <col min="15378" max="15378" width="20.109375" style="13" bestFit="1" customWidth="1"/>
    <col min="15379" max="15379" width="50.33203125" style="13" bestFit="1" customWidth="1"/>
    <col min="15380" max="15380" width="16.109375" style="13" bestFit="1" customWidth="1"/>
    <col min="15381" max="15381" width="12.33203125" style="13" customWidth="1"/>
    <col min="15382" max="15382" width="18.88671875" style="13" bestFit="1" customWidth="1"/>
    <col min="15383" max="15383" width="16.6640625" style="13" customWidth="1"/>
    <col min="15384" max="15384" width="19" style="13" bestFit="1" customWidth="1"/>
    <col min="15385" max="15385" width="9.109375" style="13"/>
    <col min="15386" max="15386" width="18.88671875" style="13" bestFit="1" customWidth="1"/>
    <col min="15387" max="15616" width="9.109375" style="13"/>
    <col min="15617" max="15617" width="10.5546875" style="13" bestFit="1" customWidth="1"/>
    <col min="15618" max="15618" width="44.109375" style="13" customWidth="1"/>
    <col min="15619" max="15619" width="14.6640625" style="13" customWidth="1"/>
    <col min="15620" max="15620" width="23.6640625" style="13" bestFit="1" customWidth="1"/>
    <col min="15621" max="15621" width="11.88671875" style="13" customWidth="1"/>
    <col min="15622" max="15622" width="20.6640625" style="13" customWidth="1"/>
    <col min="15623" max="15623" width="15.6640625" style="13" customWidth="1"/>
    <col min="15624" max="15625" width="16.109375" style="13" bestFit="1" customWidth="1"/>
    <col min="15626" max="15626" width="13.6640625" style="13" customWidth="1"/>
    <col min="15627" max="15627" width="12.6640625" style="13" bestFit="1" customWidth="1"/>
    <col min="15628" max="15628" width="15.5546875" style="13" customWidth="1"/>
    <col min="15629" max="15629" width="16.109375" style="13" bestFit="1" customWidth="1"/>
    <col min="15630" max="15630" width="13.33203125" style="13" bestFit="1" customWidth="1"/>
    <col min="15631" max="15631" width="16.33203125" style="13" bestFit="1" customWidth="1"/>
    <col min="15632" max="15632" width="9.33203125" style="13" bestFit="1" customWidth="1"/>
    <col min="15633" max="15633" width="13" style="13" bestFit="1" customWidth="1"/>
    <col min="15634" max="15634" width="20.109375" style="13" bestFit="1" customWidth="1"/>
    <col min="15635" max="15635" width="50.33203125" style="13" bestFit="1" customWidth="1"/>
    <col min="15636" max="15636" width="16.109375" style="13" bestFit="1" customWidth="1"/>
    <col min="15637" max="15637" width="12.33203125" style="13" customWidth="1"/>
    <col min="15638" max="15638" width="18.88671875" style="13" bestFit="1" customWidth="1"/>
    <col min="15639" max="15639" width="16.6640625" style="13" customWidth="1"/>
    <col min="15640" max="15640" width="19" style="13" bestFit="1" customWidth="1"/>
    <col min="15641" max="15641" width="9.109375" style="13"/>
    <col min="15642" max="15642" width="18.88671875" style="13" bestFit="1" customWidth="1"/>
    <col min="15643" max="15872" width="9.109375" style="13"/>
    <col min="15873" max="15873" width="10.5546875" style="13" bestFit="1" customWidth="1"/>
    <col min="15874" max="15874" width="44.109375" style="13" customWidth="1"/>
    <col min="15875" max="15875" width="14.6640625" style="13" customWidth="1"/>
    <col min="15876" max="15876" width="23.6640625" style="13" bestFit="1" customWidth="1"/>
    <col min="15877" max="15877" width="11.88671875" style="13" customWidth="1"/>
    <col min="15878" max="15878" width="20.6640625" style="13" customWidth="1"/>
    <col min="15879" max="15879" width="15.6640625" style="13" customWidth="1"/>
    <col min="15880" max="15881" width="16.109375" style="13" bestFit="1" customWidth="1"/>
    <col min="15882" max="15882" width="13.6640625" style="13" customWidth="1"/>
    <col min="15883" max="15883" width="12.6640625" style="13" bestFit="1" customWidth="1"/>
    <col min="15884" max="15884" width="15.5546875" style="13" customWidth="1"/>
    <col min="15885" max="15885" width="16.109375" style="13" bestFit="1" customWidth="1"/>
    <col min="15886" max="15886" width="13.33203125" style="13" bestFit="1" customWidth="1"/>
    <col min="15887" max="15887" width="16.33203125" style="13" bestFit="1" customWidth="1"/>
    <col min="15888" max="15888" width="9.33203125" style="13" bestFit="1" customWidth="1"/>
    <col min="15889" max="15889" width="13" style="13" bestFit="1" customWidth="1"/>
    <col min="15890" max="15890" width="20.109375" style="13" bestFit="1" customWidth="1"/>
    <col min="15891" max="15891" width="50.33203125" style="13" bestFit="1" customWidth="1"/>
    <col min="15892" max="15892" width="16.109375" style="13" bestFit="1" customWidth="1"/>
    <col min="15893" max="15893" width="12.33203125" style="13" customWidth="1"/>
    <col min="15894" max="15894" width="18.88671875" style="13" bestFit="1" customWidth="1"/>
    <col min="15895" max="15895" width="16.6640625" style="13" customWidth="1"/>
    <col min="15896" max="15896" width="19" style="13" bestFit="1" customWidth="1"/>
    <col min="15897" max="15897" width="9.109375" style="13"/>
    <col min="15898" max="15898" width="18.88671875" style="13" bestFit="1" customWidth="1"/>
    <col min="15899" max="16128" width="9.109375" style="13"/>
    <col min="16129" max="16129" width="10.5546875" style="13" bestFit="1" customWidth="1"/>
    <col min="16130" max="16130" width="44.109375" style="13" customWidth="1"/>
    <col min="16131" max="16131" width="14.6640625" style="13" customWidth="1"/>
    <col min="16132" max="16132" width="23.6640625" style="13" bestFit="1" customWidth="1"/>
    <col min="16133" max="16133" width="11.88671875" style="13" customWidth="1"/>
    <col min="16134" max="16134" width="20.6640625" style="13" customWidth="1"/>
    <col min="16135" max="16135" width="15.6640625" style="13" customWidth="1"/>
    <col min="16136" max="16137" width="16.109375" style="13" bestFit="1" customWidth="1"/>
    <col min="16138" max="16138" width="13.6640625" style="13" customWidth="1"/>
    <col min="16139" max="16139" width="12.6640625" style="13" bestFit="1" customWidth="1"/>
    <col min="16140" max="16140" width="15.5546875" style="13" customWidth="1"/>
    <col min="16141" max="16141" width="16.109375" style="13" bestFit="1" customWidth="1"/>
    <col min="16142" max="16142" width="13.33203125" style="13" bestFit="1" customWidth="1"/>
    <col min="16143" max="16143" width="16.33203125" style="13" bestFit="1" customWidth="1"/>
    <col min="16144" max="16144" width="9.33203125" style="13" bestFit="1" customWidth="1"/>
    <col min="16145" max="16145" width="13" style="13" bestFit="1" customWidth="1"/>
    <col min="16146" max="16146" width="20.109375" style="13" bestFit="1" customWidth="1"/>
    <col min="16147" max="16147" width="50.33203125" style="13" bestFit="1" customWidth="1"/>
    <col min="16148" max="16148" width="16.109375" style="13" bestFit="1" customWidth="1"/>
    <col min="16149" max="16149" width="12.33203125" style="13" customWidth="1"/>
    <col min="16150" max="16150" width="18.88671875" style="13" bestFit="1" customWidth="1"/>
    <col min="16151" max="16151" width="16.6640625" style="13" customWidth="1"/>
    <col min="16152" max="16152" width="19" style="13" bestFit="1" customWidth="1"/>
    <col min="16153" max="16153" width="9.109375" style="13"/>
    <col min="16154" max="16154" width="18.88671875" style="13" bestFit="1" customWidth="1"/>
    <col min="16155" max="16384" width="9.109375" style="13"/>
  </cols>
  <sheetData>
    <row r="1" spans="1:26">
      <c r="J1" s="16"/>
      <c r="K1" s="16"/>
      <c r="L1" s="16"/>
    </row>
    <row r="2" spans="1:26" ht="18" thickBot="1">
      <c r="A2" s="208" t="s">
        <v>226</v>
      </c>
      <c r="J2" s="207"/>
      <c r="K2" s="16"/>
      <c r="L2" s="16"/>
    </row>
    <row r="3" spans="1:26" ht="15" thickBot="1">
      <c r="A3" s="9" t="s">
        <v>132</v>
      </c>
      <c r="H3" s="49"/>
      <c r="I3" s="379">
        <v>42059</v>
      </c>
      <c r="J3" s="369"/>
      <c r="K3" s="370"/>
      <c r="L3" s="371"/>
    </row>
    <row r="4" spans="1:26" ht="16.2" thickBot="1">
      <c r="A4" s="92"/>
      <c r="B4" s="90"/>
      <c r="C4" s="90" t="s">
        <v>225</v>
      </c>
      <c r="D4" s="205" t="e">
        <f>L218</f>
        <v>#REF!</v>
      </c>
      <c r="H4" s="49"/>
      <c r="I4" s="372"/>
      <c r="J4" s="367"/>
      <c r="K4" s="368"/>
      <c r="L4" s="373"/>
    </row>
    <row r="5" spans="1:26" ht="14.4">
      <c r="A5" s="94"/>
      <c r="B5" s="94"/>
      <c r="C5" s="94"/>
      <c r="D5" s="94"/>
      <c r="E5" s="94"/>
      <c r="F5" s="94"/>
      <c r="H5" s="49"/>
      <c r="I5" s="372" t="s">
        <v>391</v>
      </c>
      <c r="J5" s="366"/>
      <c r="K5" s="368"/>
      <c r="L5" s="373"/>
      <c r="M5" s="49"/>
      <c r="N5" s="49"/>
      <c r="O5" s="49"/>
      <c r="P5" s="49"/>
      <c r="Q5" s="49"/>
      <c r="R5" s="49"/>
      <c r="S5" s="49"/>
      <c r="T5" s="203"/>
      <c r="U5" s="203"/>
      <c r="V5" s="203"/>
      <c r="W5" s="203"/>
      <c r="X5" s="203"/>
    </row>
    <row r="6" spans="1:26" ht="14.4">
      <c r="A6" s="94"/>
      <c r="B6" s="202"/>
      <c r="C6" s="201"/>
      <c r="D6" s="200"/>
      <c r="E6" s="201"/>
      <c r="F6" s="200" t="s">
        <v>99</v>
      </c>
      <c r="H6" s="49"/>
      <c r="I6" s="372"/>
      <c r="J6" s="366"/>
      <c r="K6" s="368"/>
      <c r="L6" s="373"/>
      <c r="M6" s="49"/>
      <c r="N6" s="49"/>
      <c r="O6" s="49"/>
      <c r="P6" s="49"/>
      <c r="Q6" s="49"/>
      <c r="R6" s="49"/>
      <c r="S6" s="49"/>
      <c r="T6" s="199"/>
      <c r="X6" s="198"/>
      <c r="Z6" s="192"/>
    </row>
    <row r="7" spans="1:26" ht="15.6">
      <c r="A7" s="100"/>
      <c r="B7" s="197"/>
      <c r="C7" s="197"/>
      <c r="D7" s="9"/>
      <c r="E7" s="196" t="s">
        <v>224</v>
      </c>
      <c r="F7" s="195" t="e">
        <f>L214</f>
        <v>#REF!</v>
      </c>
      <c r="H7" s="49"/>
      <c r="I7" s="372" t="s">
        <v>392</v>
      </c>
      <c r="J7" s="367"/>
      <c r="K7" s="368"/>
      <c r="L7" s="373"/>
      <c r="M7" s="49"/>
      <c r="N7" s="49"/>
      <c r="O7" s="49"/>
      <c r="P7" s="49"/>
      <c r="Q7" s="49"/>
      <c r="R7" s="49"/>
      <c r="S7" s="49"/>
      <c r="T7" s="86"/>
      <c r="Z7" s="192"/>
    </row>
    <row r="8" spans="1:26" ht="14.4">
      <c r="A8" s="93"/>
      <c r="B8" s="93"/>
      <c r="H8" s="49"/>
      <c r="I8" s="372"/>
      <c r="J8" s="366"/>
      <c r="K8" s="366"/>
      <c r="L8" s="373"/>
      <c r="M8" s="49"/>
      <c r="N8" s="49"/>
      <c r="O8" s="49"/>
      <c r="P8" s="49"/>
      <c r="Q8" s="49"/>
      <c r="R8" s="49"/>
      <c r="S8" s="49"/>
      <c r="Z8" s="192"/>
    </row>
    <row r="9" spans="1:26" ht="14.4">
      <c r="H9" s="49"/>
      <c r="I9" s="372" t="s">
        <v>393</v>
      </c>
      <c r="J9" s="366"/>
      <c r="K9" s="366"/>
      <c r="L9" s="373"/>
      <c r="M9" s="49"/>
      <c r="N9" s="49"/>
      <c r="O9" s="49"/>
      <c r="P9" s="49"/>
      <c r="Q9" s="49"/>
      <c r="R9" s="49"/>
      <c r="S9" s="49"/>
      <c r="Z9" s="192"/>
    </row>
    <row r="10" spans="1:26" ht="14.4">
      <c r="H10" s="49"/>
      <c r="I10" s="372"/>
      <c r="J10" s="366"/>
      <c r="K10" s="366"/>
      <c r="L10" s="373"/>
      <c r="M10" s="49"/>
      <c r="N10" s="49"/>
      <c r="O10" s="49"/>
      <c r="P10" s="49"/>
      <c r="Q10" s="49"/>
      <c r="R10" s="49"/>
      <c r="S10" s="49"/>
      <c r="T10" s="190"/>
      <c r="X10" s="190"/>
      <c r="Z10" s="192"/>
    </row>
    <row r="11" spans="1:26">
      <c r="H11" s="49"/>
      <c r="I11" s="374" t="s">
        <v>394</v>
      </c>
      <c r="J11" s="366"/>
      <c r="K11" s="366"/>
      <c r="L11" s="373"/>
      <c r="M11" s="49"/>
      <c r="N11" s="49"/>
      <c r="O11" s="49"/>
      <c r="P11" s="49"/>
      <c r="Q11" s="49"/>
      <c r="R11" s="49"/>
      <c r="S11" s="49"/>
      <c r="Z11" s="49"/>
    </row>
    <row r="12" spans="1:26">
      <c r="B12" s="150" t="s">
        <v>223</v>
      </c>
      <c r="H12" s="49"/>
      <c r="I12" s="375" t="s">
        <v>395</v>
      </c>
      <c r="J12" s="366"/>
      <c r="K12" s="366"/>
      <c r="L12" s="373"/>
      <c r="M12" s="49"/>
      <c r="N12" s="49"/>
      <c r="O12" s="49"/>
      <c r="P12" s="49"/>
      <c r="Q12" s="49"/>
      <c r="R12" s="49"/>
      <c r="S12" s="49"/>
      <c r="Z12" s="49"/>
    </row>
    <row r="13" spans="1:26">
      <c r="B13" s="124"/>
      <c r="H13" s="49"/>
      <c r="I13" s="375" t="s">
        <v>396</v>
      </c>
      <c r="J13" s="366"/>
      <c r="K13" s="366"/>
      <c r="L13" s="373"/>
      <c r="M13" s="49"/>
      <c r="N13" s="49"/>
      <c r="O13" s="49"/>
      <c r="P13" s="49"/>
      <c r="Q13" s="49"/>
      <c r="R13" s="49"/>
      <c r="S13" s="49"/>
      <c r="Z13" s="49"/>
    </row>
    <row r="14" spans="1:26">
      <c r="B14" s="129" t="s">
        <v>222</v>
      </c>
      <c r="C14" s="94"/>
      <c r="D14" s="94"/>
      <c r="E14" s="94"/>
      <c r="H14" s="49"/>
      <c r="I14" s="375" t="s">
        <v>397</v>
      </c>
      <c r="J14" s="366"/>
      <c r="K14" s="366"/>
      <c r="L14" s="373"/>
      <c r="M14" s="49"/>
      <c r="N14" s="49"/>
      <c r="O14" s="49"/>
      <c r="P14" s="49"/>
      <c r="Q14" s="49"/>
      <c r="R14" s="49"/>
      <c r="S14" s="49"/>
      <c r="Z14" s="49"/>
    </row>
    <row r="15" spans="1:26" ht="14.4">
      <c r="B15" s="139" t="s">
        <v>172</v>
      </c>
      <c r="C15" s="139"/>
      <c r="D15" s="191">
        <v>14101.476000000001</v>
      </c>
      <c r="E15" s="141" t="s">
        <v>171</v>
      </c>
      <c r="F15" s="49"/>
      <c r="H15" s="49"/>
      <c r="I15" s="375" t="s">
        <v>398</v>
      </c>
      <c r="J15" s="366"/>
      <c r="K15" s="366"/>
      <c r="L15" s="373"/>
      <c r="M15" s="49"/>
      <c r="N15" s="49"/>
      <c r="O15" s="49"/>
      <c r="P15" s="49"/>
      <c r="Q15" s="49"/>
      <c r="R15" s="49"/>
      <c r="S15" s="49"/>
      <c r="T15" s="190"/>
      <c r="V15" s="190"/>
      <c r="X15" s="190"/>
      <c r="Z15" s="190"/>
    </row>
    <row r="16" spans="1:26" ht="14.4">
      <c r="B16" s="139" t="s">
        <v>170</v>
      </c>
      <c r="C16" s="139"/>
      <c r="D16" s="191">
        <v>146</v>
      </c>
      <c r="E16" s="141" t="s">
        <v>169</v>
      </c>
      <c r="F16" s="49"/>
      <c r="H16" s="49"/>
      <c r="I16" s="375" t="s">
        <v>399</v>
      </c>
      <c r="J16" s="366"/>
      <c r="K16" s="366"/>
      <c r="L16" s="373"/>
      <c r="M16" s="49"/>
      <c r="N16" s="49"/>
      <c r="O16" s="49"/>
      <c r="P16" s="49"/>
      <c r="Q16" s="49"/>
      <c r="R16" s="49"/>
      <c r="S16" s="49"/>
      <c r="T16" s="190"/>
      <c r="V16" s="190"/>
      <c r="X16" s="190"/>
      <c r="Z16" s="190"/>
    </row>
    <row r="17" spans="1:26" ht="15" thickBot="1">
      <c r="B17" s="139" t="s">
        <v>168</v>
      </c>
      <c r="C17" s="139"/>
      <c r="D17" s="191">
        <v>2337</v>
      </c>
      <c r="E17" s="141" t="s">
        <v>103</v>
      </c>
      <c r="F17" s="49"/>
      <c r="H17" s="49"/>
      <c r="I17" s="376"/>
      <c r="J17" s="377"/>
      <c r="K17" s="377"/>
      <c r="L17" s="378"/>
      <c r="M17" s="49"/>
      <c r="N17" s="49"/>
      <c r="O17" s="49"/>
      <c r="P17" s="49"/>
      <c r="Q17" s="49"/>
      <c r="R17" s="49"/>
      <c r="S17" s="49"/>
      <c r="T17" s="190"/>
      <c r="V17" s="190"/>
      <c r="X17" s="190"/>
      <c r="Z17" s="190"/>
    </row>
    <row r="18" spans="1:26" ht="14.4">
      <c r="B18" s="139" t="s">
        <v>167</v>
      </c>
      <c r="C18" s="139"/>
      <c r="D18" s="191" t="e">
        <f>IF(#REF!=1,27095983,22134200+1012466)</f>
        <v>#REF!</v>
      </c>
      <c r="E18" s="141" t="s">
        <v>166</v>
      </c>
      <c r="F18" s="49"/>
      <c r="H18" s="49"/>
      <c r="K18" s="49"/>
      <c r="L18" s="49"/>
      <c r="M18" s="49"/>
      <c r="N18" s="49"/>
      <c r="O18" s="49"/>
      <c r="P18" s="49"/>
      <c r="Q18" s="49"/>
      <c r="R18" s="49"/>
      <c r="S18" s="49"/>
      <c r="T18" s="190"/>
      <c r="V18" s="190"/>
      <c r="X18" s="190"/>
      <c r="Z18" s="190"/>
    </row>
    <row r="19" spans="1:26">
      <c r="B19" s="94"/>
      <c r="C19" s="94"/>
      <c r="D19" s="107"/>
      <c r="E19" s="141"/>
      <c r="F19" s="49"/>
      <c r="H19" s="49"/>
      <c r="K19" s="49"/>
      <c r="L19" s="49"/>
      <c r="M19" s="49"/>
      <c r="N19" s="49"/>
      <c r="O19" s="49"/>
      <c r="P19" s="188"/>
      <c r="Q19" s="49"/>
      <c r="R19" s="49"/>
      <c r="S19" s="49"/>
      <c r="Z19" s="49"/>
    </row>
    <row r="20" spans="1:26" ht="14.4">
      <c r="B20" s="94"/>
      <c r="C20" s="94"/>
      <c r="D20" s="107"/>
      <c r="E20" s="141"/>
      <c r="H20" s="49"/>
      <c r="K20" s="49"/>
      <c r="L20" s="49"/>
      <c r="M20" s="49"/>
      <c r="N20" s="49"/>
      <c r="O20" s="189"/>
      <c r="P20" s="188"/>
      <c r="Q20" s="49"/>
      <c r="R20" s="49"/>
      <c r="S20" s="49"/>
      <c r="Z20" s="49"/>
    </row>
    <row r="21" spans="1:26" ht="14.4">
      <c r="H21" s="49"/>
      <c r="K21" s="49"/>
      <c r="L21" s="49"/>
      <c r="M21" s="48"/>
      <c r="N21" s="48"/>
      <c r="O21" s="174"/>
      <c r="P21" s="48"/>
      <c r="Q21" s="48"/>
      <c r="R21" s="48"/>
      <c r="S21" s="48"/>
      <c r="Z21" s="49"/>
    </row>
    <row r="22" spans="1:26" s="87" customFormat="1" ht="14.4">
      <c r="M22" s="186"/>
      <c r="N22" s="186"/>
      <c r="O22" s="187"/>
      <c r="P22" s="186"/>
      <c r="Q22" s="186"/>
      <c r="R22" s="186"/>
      <c r="S22" s="186"/>
    </row>
    <row r="23" spans="1:26" ht="14.4">
      <c r="G23" s="49"/>
      <c r="H23" s="49"/>
      <c r="I23" s="49"/>
      <c r="J23" s="49"/>
      <c r="K23" s="185"/>
      <c r="L23" s="49"/>
      <c r="M23" s="48"/>
      <c r="N23" s="48"/>
      <c r="O23" s="174"/>
      <c r="P23" s="48"/>
      <c r="Q23" s="48"/>
      <c r="R23" s="48"/>
      <c r="S23" s="48"/>
      <c r="T23" s="49"/>
      <c r="U23" s="49"/>
      <c r="V23" s="49"/>
      <c r="W23" s="49"/>
      <c r="X23" s="49"/>
      <c r="Y23" s="49"/>
      <c r="Z23" s="49"/>
    </row>
    <row r="24" spans="1:26">
      <c r="B24" s="94" t="s">
        <v>221</v>
      </c>
      <c r="G24" s="49"/>
      <c r="H24" s="49"/>
      <c r="I24" s="49"/>
      <c r="J24" s="49"/>
      <c r="K24" s="49"/>
      <c r="L24" s="49"/>
      <c r="M24" s="48"/>
      <c r="N24" s="48"/>
      <c r="O24" s="48"/>
      <c r="P24" s="48"/>
      <c r="Q24" s="48"/>
      <c r="R24" s="48"/>
      <c r="S24" s="48"/>
      <c r="T24" s="49"/>
      <c r="U24" s="49"/>
      <c r="V24" s="49"/>
      <c r="W24" s="49"/>
      <c r="X24" s="49"/>
      <c r="Y24" s="49"/>
      <c r="Z24" s="49"/>
    </row>
    <row r="25" spans="1:26">
      <c r="D25" s="104"/>
      <c r="G25" s="49"/>
      <c r="H25" s="49"/>
      <c r="I25" s="49"/>
      <c r="J25" s="49"/>
      <c r="K25" s="49"/>
      <c r="L25" s="49"/>
      <c r="M25" s="48"/>
      <c r="N25" s="48"/>
      <c r="O25" s="48"/>
      <c r="P25" s="48"/>
      <c r="Q25" s="48"/>
      <c r="R25" s="48"/>
      <c r="S25" s="48"/>
      <c r="T25" s="49"/>
      <c r="U25" s="49"/>
      <c r="V25" s="49"/>
      <c r="W25" s="49"/>
      <c r="X25" s="49"/>
      <c r="Y25" s="49"/>
      <c r="Z25" s="49"/>
    </row>
    <row r="26" spans="1:26">
      <c r="A26" s="184" t="s">
        <v>0</v>
      </c>
      <c r="B26" s="183"/>
      <c r="C26" s="182"/>
      <c r="D26" s="176" t="s">
        <v>218</v>
      </c>
      <c r="E26" s="181" t="s">
        <v>220</v>
      </c>
      <c r="F26" s="181"/>
      <c r="K26" s="49"/>
      <c r="L26" s="49"/>
      <c r="M26" s="48"/>
      <c r="N26" s="48"/>
      <c r="O26" s="48"/>
      <c r="P26" s="48"/>
      <c r="Q26" s="48"/>
      <c r="R26" s="48"/>
      <c r="S26" s="48"/>
      <c r="T26" s="49"/>
      <c r="U26" s="49"/>
      <c r="V26" s="49"/>
      <c r="W26" s="49"/>
      <c r="X26" s="49"/>
      <c r="Y26" s="49"/>
      <c r="Z26" s="49"/>
    </row>
    <row r="27" spans="1:26">
      <c r="A27" s="180" t="s">
        <v>2</v>
      </c>
      <c r="B27" s="180"/>
      <c r="C27" s="179" t="s">
        <v>219</v>
      </c>
      <c r="D27" s="178" t="s">
        <v>81</v>
      </c>
      <c r="E27" s="178" t="s">
        <v>218</v>
      </c>
      <c r="F27" s="175"/>
      <c r="K27" s="49"/>
      <c r="M27" s="48"/>
      <c r="N27" s="48"/>
      <c r="O27" s="48"/>
      <c r="P27" s="48"/>
      <c r="Q27" s="48"/>
      <c r="R27" s="48"/>
      <c r="S27" s="48"/>
      <c r="T27" s="49"/>
      <c r="U27" s="49"/>
      <c r="V27" s="49"/>
      <c r="W27" s="49"/>
      <c r="X27" s="49"/>
      <c r="Y27" s="49"/>
      <c r="Z27" s="49"/>
    </row>
    <row r="28" spans="1:26">
      <c r="A28" s="177"/>
      <c r="B28" s="177" t="s">
        <v>4</v>
      </c>
      <c r="C28" s="177" t="s">
        <v>5</v>
      </c>
      <c r="D28" s="176" t="s">
        <v>6</v>
      </c>
      <c r="E28" s="176" t="s">
        <v>7</v>
      </c>
      <c r="F28" s="175"/>
      <c r="K28" s="49"/>
      <c r="M28" s="48"/>
      <c r="N28" s="48"/>
      <c r="O28" s="48"/>
      <c r="P28" s="48"/>
      <c r="Q28" s="48"/>
      <c r="R28" s="48"/>
      <c r="S28" s="48"/>
      <c r="T28" s="49"/>
      <c r="U28" s="49"/>
      <c r="V28" s="49"/>
      <c r="W28" s="49"/>
      <c r="X28" s="49"/>
      <c r="Y28" s="49"/>
      <c r="Z28" s="49"/>
    </row>
    <row r="29" spans="1:26">
      <c r="A29" s="167">
        <v>1</v>
      </c>
      <c r="B29" s="169" t="s">
        <v>217</v>
      </c>
      <c r="C29" s="169" t="e">
        <f>SUM(D29:E29)</f>
        <v>#REF!</v>
      </c>
      <c r="D29" s="159" t="e">
        <f>#REF!</f>
        <v>#REF!</v>
      </c>
      <c r="E29" s="159" t="e">
        <f>#REF!</f>
        <v>#REF!</v>
      </c>
      <c r="F29" s="163"/>
      <c r="G29" s="176" t="s">
        <v>218</v>
      </c>
      <c r="H29" s="181" t="s">
        <v>220</v>
      </c>
      <c r="K29" s="49"/>
      <c r="M29" s="48"/>
      <c r="N29" s="48"/>
      <c r="O29" s="48"/>
      <c r="P29" s="48"/>
      <c r="Q29" s="48"/>
      <c r="R29" s="48"/>
      <c r="S29" s="48"/>
      <c r="T29" s="49"/>
      <c r="U29" s="49"/>
      <c r="V29" s="49"/>
      <c r="W29" s="49"/>
      <c r="X29" s="49"/>
      <c r="Y29" s="49"/>
      <c r="Z29" s="49"/>
    </row>
    <row r="30" spans="1:26" ht="14.4">
      <c r="A30" s="167">
        <v>2</v>
      </c>
      <c r="B30" s="174" t="s">
        <v>216</v>
      </c>
      <c r="C30" s="169" t="e">
        <f>SUM(D30:E30)</f>
        <v>#REF!</v>
      </c>
      <c r="D30" s="159" t="e">
        <f>#REF!</f>
        <v>#REF!</v>
      </c>
      <c r="E30" s="159" t="e">
        <f>#REF!</f>
        <v>#REF!</v>
      </c>
      <c r="F30" s="163"/>
      <c r="G30" s="178" t="s">
        <v>81</v>
      </c>
      <c r="H30" s="178" t="s">
        <v>218</v>
      </c>
      <c r="K30" s="49"/>
      <c r="R30" s="49"/>
      <c r="S30" s="49"/>
      <c r="T30" s="49"/>
      <c r="U30" s="49"/>
      <c r="V30" s="49"/>
      <c r="W30" s="49"/>
      <c r="X30" s="49"/>
      <c r="Y30" s="49"/>
      <c r="Z30" s="49"/>
    </row>
    <row r="31" spans="1:26" ht="14.4">
      <c r="A31" s="167"/>
      <c r="B31" s="174"/>
      <c r="C31" s="169"/>
      <c r="D31" s="159"/>
      <c r="E31" s="159"/>
      <c r="F31" s="163"/>
      <c r="G31" s="173"/>
      <c r="K31" s="49"/>
      <c r="R31" s="49"/>
      <c r="S31" s="49"/>
      <c r="T31" s="49"/>
      <c r="U31" s="49"/>
      <c r="V31" s="49"/>
      <c r="W31" s="49"/>
      <c r="X31" s="49"/>
      <c r="Y31" s="49"/>
      <c r="Z31" s="49"/>
    </row>
    <row r="32" spans="1:26">
      <c r="A32" s="167">
        <v>3</v>
      </c>
      <c r="B32" s="169" t="s">
        <v>215</v>
      </c>
      <c r="C32" s="164" t="e">
        <f>#REF!</f>
        <v>#REF!</v>
      </c>
      <c r="D32" s="164" t="e">
        <f>$C$32*G32</f>
        <v>#REF!</v>
      </c>
      <c r="E32" s="164" t="e">
        <f>$C$32*H32</f>
        <v>#REF!</v>
      </c>
      <c r="F32" s="163"/>
      <c r="G32" s="265" t="e">
        <f>#REF!</f>
        <v>#REF!</v>
      </c>
      <c r="H32" s="265" t="e">
        <f>#REF!</f>
        <v>#REF!</v>
      </c>
      <c r="K32" s="49"/>
      <c r="R32" s="49"/>
      <c r="S32" s="49"/>
      <c r="T32" s="49"/>
      <c r="U32" s="49"/>
      <c r="V32" s="49"/>
      <c r="W32" s="49"/>
      <c r="X32" s="49"/>
      <c r="Y32" s="49"/>
      <c r="Z32" s="49"/>
    </row>
    <row r="33" spans="1:26">
      <c r="B33" s="166"/>
      <c r="C33" s="172"/>
      <c r="D33" s="171"/>
      <c r="E33" s="171"/>
      <c r="F33" s="16"/>
      <c r="G33" s="9"/>
      <c r="H33" s="9"/>
      <c r="I33" s="121"/>
      <c r="K33" s="49"/>
      <c r="R33" s="49"/>
      <c r="S33" s="49"/>
      <c r="T33" s="49"/>
      <c r="U33" s="49"/>
      <c r="V33" s="49"/>
      <c r="W33" s="49"/>
      <c r="X33" s="49"/>
      <c r="Y33" s="49"/>
      <c r="Z33" s="49"/>
    </row>
    <row r="34" spans="1:26">
      <c r="A34" s="167"/>
      <c r="B34" s="170"/>
      <c r="C34" s="169"/>
      <c r="D34" s="169"/>
      <c r="E34" s="169"/>
      <c r="F34" s="163"/>
      <c r="G34" s="9"/>
      <c r="H34" s="9"/>
      <c r="K34" s="49"/>
      <c r="R34" s="49"/>
      <c r="S34" s="49"/>
      <c r="T34" s="49"/>
      <c r="U34" s="49"/>
      <c r="V34" s="49"/>
      <c r="W34" s="49"/>
      <c r="X34" s="49"/>
      <c r="Y34" s="49"/>
      <c r="Z34" s="49"/>
    </row>
    <row r="35" spans="1:26">
      <c r="A35" s="167"/>
      <c r="B35" s="166" t="s">
        <v>262</v>
      </c>
      <c r="C35" s="168" t="e">
        <f>#REF!*-1000</f>
        <v>#REF!</v>
      </c>
      <c r="D35" s="168" t="e">
        <f>$C$35*G35</f>
        <v>#REF!</v>
      </c>
      <c r="E35" s="168" t="e">
        <f>$C$35*H35</f>
        <v>#REF!</v>
      </c>
      <c r="F35" s="163"/>
      <c r="G35" s="265" t="e">
        <f>G32</f>
        <v>#REF!</v>
      </c>
      <c r="H35" s="265" t="e">
        <f>H32</f>
        <v>#REF!</v>
      </c>
      <c r="K35" s="49"/>
      <c r="R35" s="49"/>
      <c r="S35" s="49"/>
      <c r="T35" s="49"/>
      <c r="U35" s="49"/>
      <c r="V35" s="49"/>
      <c r="W35" s="49"/>
      <c r="X35" s="49"/>
      <c r="Y35" s="49"/>
      <c r="Z35" s="49"/>
    </row>
    <row r="36" spans="1:26">
      <c r="A36" s="167"/>
      <c r="B36" s="166" t="s">
        <v>261</v>
      </c>
      <c r="C36" s="165" t="e">
        <f>C32+C35</f>
        <v>#REF!</v>
      </c>
      <c r="D36" s="164" t="e">
        <f>D35+D32</f>
        <v>#REF!</v>
      </c>
      <c r="E36" s="164" t="e">
        <f>E35+E32</f>
        <v>#REF!</v>
      </c>
      <c r="F36" s="163"/>
      <c r="K36" s="49"/>
      <c r="R36" s="49"/>
      <c r="S36" s="49"/>
      <c r="T36" s="49"/>
      <c r="U36" s="49"/>
      <c r="V36" s="49"/>
      <c r="W36" s="49"/>
      <c r="X36" s="49"/>
      <c r="Y36" s="49"/>
      <c r="Z36" s="49"/>
    </row>
    <row r="37" spans="1:26">
      <c r="I37" s="162"/>
      <c r="K37" s="49"/>
      <c r="R37" s="49"/>
      <c r="S37" s="49"/>
      <c r="T37" s="49"/>
      <c r="U37" s="49"/>
      <c r="V37" s="49"/>
      <c r="W37" s="49"/>
      <c r="X37" s="49"/>
      <c r="Y37" s="49"/>
      <c r="Z37" s="49"/>
    </row>
    <row r="38" spans="1:26">
      <c r="I38" s="162"/>
      <c r="K38" s="49"/>
      <c r="R38" s="49"/>
      <c r="S38" s="49"/>
      <c r="T38" s="49"/>
      <c r="U38" s="49"/>
      <c r="V38" s="49"/>
      <c r="W38" s="49"/>
      <c r="X38" s="49"/>
      <c r="Y38" s="49"/>
      <c r="Z38" s="49"/>
    </row>
    <row r="39" spans="1:26">
      <c r="B39" s="161" t="s">
        <v>214</v>
      </c>
      <c r="C39" s="13" t="s">
        <v>209</v>
      </c>
      <c r="D39" s="132" t="e">
        <f>(D29+D30)</f>
        <v>#REF!</v>
      </c>
      <c r="E39" s="49" t="s">
        <v>213</v>
      </c>
      <c r="K39" s="49"/>
      <c r="R39" s="49"/>
      <c r="S39" s="49"/>
      <c r="T39" s="49"/>
      <c r="U39" s="49"/>
      <c r="V39" s="49"/>
      <c r="W39" s="49"/>
      <c r="X39" s="49"/>
      <c r="Y39" s="49"/>
      <c r="Z39" s="49"/>
    </row>
    <row r="40" spans="1:26" ht="27.6">
      <c r="B40" s="161" t="s">
        <v>212</v>
      </c>
      <c r="C40" s="13" t="s">
        <v>209</v>
      </c>
      <c r="D40" s="132" t="e">
        <f>D35*(D39/D32)</f>
        <v>#REF!</v>
      </c>
      <c r="E40" s="13" t="s">
        <v>211</v>
      </c>
      <c r="K40" s="49"/>
      <c r="R40" s="49"/>
      <c r="S40" s="49"/>
      <c r="T40" s="49"/>
      <c r="U40" s="49"/>
      <c r="V40" s="49"/>
      <c r="W40" s="49"/>
      <c r="X40" s="49"/>
      <c r="Y40" s="49"/>
      <c r="Z40" s="49"/>
    </row>
    <row r="41" spans="1:26" ht="28.2" thickBot="1">
      <c r="B41" s="161" t="s">
        <v>210</v>
      </c>
      <c r="C41" s="13" t="s">
        <v>209</v>
      </c>
      <c r="D41" s="160" t="e">
        <f>D39+D40</f>
        <v>#REF!</v>
      </c>
      <c r="E41" s="13" t="s">
        <v>208</v>
      </c>
      <c r="K41" s="49"/>
      <c r="R41" s="49"/>
      <c r="S41" s="49"/>
      <c r="T41" s="49"/>
      <c r="U41" s="49"/>
      <c r="V41" s="49"/>
      <c r="W41" s="49"/>
      <c r="X41" s="49"/>
      <c r="Y41" s="49"/>
      <c r="Z41" s="49"/>
    </row>
    <row r="42" spans="1:26" ht="14.4" thickTop="1">
      <c r="B42" s="49"/>
      <c r="C42" s="49"/>
      <c r="D42" s="49"/>
      <c r="E42" s="49"/>
      <c r="F42" s="49"/>
      <c r="G42" s="49"/>
      <c r="H42" s="49"/>
      <c r="K42" s="49"/>
      <c r="R42" s="49"/>
      <c r="S42" s="49"/>
      <c r="T42" s="49"/>
      <c r="U42" s="49"/>
      <c r="V42" s="49"/>
      <c r="W42" s="49"/>
      <c r="X42" s="49"/>
      <c r="Y42" s="49"/>
      <c r="Z42" s="49"/>
    </row>
    <row r="43" spans="1:26">
      <c r="B43" s="13" t="s">
        <v>207</v>
      </c>
      <c r="C43" s="49" t="s">
        <v>206</v>
      </c>
      <c r="D43" s="159" t="e">
        <f>#REF!</f>
        <v>#REF!</v>
      </c>
      <c r="E43" s="49" t="s">
        <v>205</v>
      </c>
      <c r="F43" s="49"/>
      <c r="G43" s="49"/>
      <c r="H43" s="49"/>
      <c r="K43" s="49"/>
      <c r="R43" s="49"/>
      <c r="S43" s="49"/>
      <c r="T43" s="49"/>
      <c r="U43" s="49"/>
      <c r="V43" s="49"/>
      <c r="W43" s="49"/>
      <c r="X43" s="49"/>
      <c r="Y43" s="49"/>
      <c r="Z43" s="49"/>
    </row>
    <row r="44" spans="1:26" ht="14.4" thickBot="1">
      <c r="K44" s="49"/>
      <c r="R44" s="49"/>
      <c r="S44" s="49"/>
      <c r="T44" s="49"/>
      <c r="U44" s="49"/>
      <c r="V44" s="49"/>
      <c r="W44" s="49"/>
      <c r="X44" s="49"/>
      <c r="Y44" s="49"/>
      <c r="Z44" s="49"/>
    </row>
    <row r="45" spans="1:26" ht="14.4" thickBot="1">
      <c r="B45" s="13" t="s">
        <v>135</v>
      </c>
      <c r="C45" s="13" t="s">
        <v>97</v>
      </c>
      <c r="D45" s="158" t="e">
        <f>D41/(D43*365)</f>
        <v>#REF!</v>
      </c>
      <c r="E45" s="49" t="s">
        <v>204</v>
      </c>
      <c r="K45" s="49"/>
      <c r="R45" s="49"/>
      <c r="S45" s="49"/>
      <c r="T45" s="49"/>
      <c r="U45" s="49"/>
      <c r="V45" s="49"/>
      <c r="W45" s="49"/>
      <c r="X45" s="49"/>
      <c r="Y45" s="49"/>
      <c r="Z45" s="49"/>
    </row>
    <row r="46" spans="1:26">
      <c r="K46" s="49"/>
      <c r="R46" s="49"/>
      <c r="S46" s="49"/>
      <c r="T46" s="49"/>
      <c r="U46" s="49"/>
      <c r="V46" s="49"/>
      <c r="W46" s="49"/>
      <c r="X46" s="49"/>
      <c r="Y46" s="49"/>
      <c r="Z46" s="49"/>
    </row>
    <row r="47" spans="1:26" s="87" customFormat="1"/>
    <row r="48" spans="1:26">
      <c r="A48" s="49"/>
      <c r="B48" s="150" t="s">
        <v>203</v>
      </c>
      <c r="K48" s="49"/>
    </row>
    <row r="49" spans="1:11">
      <c r="A49" s="49"/>
      <c r="B49" s="157"/>
      <c r="J49" s="156" t="s">
        <v>202</v>
      </c>
      <c r="K49" s="49"/>
    </row>
    <row r="50" spans="1:11">
      <c r="A50" s="49"/>
      <c r="B50" s="150" t="s">
        <v>201</v>
      </c>
      <c r="K50" s="49"/>
    </row>
    <row r="51" spans="1:11">
      <c r="A51" s="49"/>
      <c r="K51" s="49"/>
    </row>
    <row r="52" spans="1:11" ht="66">
      <c r="A52" s="49"/>
      <c r="B52" s="149"/>
      <c r="C52" s="148"/>
      <c r="D52" s="148" t="s">
        <v>200</v>
      </c>
      <c r="E52" s="148" t="s">
        <v>199</v>
      </c>
      <c r="F52" s="148" t="s">
        <v>198</v>
      </c>
      <c r="G52" s="148" t="s">
        <v>197</v>
      </c>
      <c r="H52" s="16"/>
      <c r="K52" s="49"/>
    </row>
    <row r="53" spans="1:11">
      <c r="A53" s="49"/>
      <c r="B53" s="149"/>
      <c r="C53" s="148"/>
      <c r="D53" s="148"/>
      <c r="E53" s="148"/>
      <c r="F53" s="148"/>
      <c r="G53" s="148"/>
      <c r="K53" s="49"/>
    </row>
    <row r="54" spans="1:11">
      <c r="A54" s="49"/>
      <c r="B54" s="147" t="s">
        <v>113</v>
      </c>
      <c r="C54" s="147" t="s">
        <v>112</v>
      </c>
      <c r="D54" s="472" t="s">
        <v>196</v>
      </c>
      <c r="E54" s="472"/>
      <c r="F54" s="472"/>
      <c r="G54" s="472"/>
      <c r="H54" s="94"/>
      <c r="J54" s="105" t="s">
        <v>178</v>
      </c>
      <c r="K54" s="49"/>
    </row>
    <row r="55" spans="1:11">
      <c r="A55" s="49"/>
      <c r="B55" s="145" t="s">
        <v>107</v>
      </c>
      <c r="C55" s="145" t="s">
        <v>106</v>
      </c>
      <c r="D55" s="145"/>
      <c r="E55" s="145"/>
      <c r="F55" s="145"/>
      <c r="G55" s="145"/>
      <c r="I55" s="144" t="s">
        <v>177</v>
      </c>
      <c r="J55" s="144" t="s">
        <v>176</v>
      </c>
      <c r="K55" s="49"/>
    </row>
    <row r="56" spans="1:11">
      <c r="A56" s="49"/>
      <c r="B56" s="145"/>
      <c r="C56" s="145"/>
      <c r="D56" s="145"/>
      <c r="E56" s="145"/>
      <c r="F56" s="145"/>
      <c r="G56" s="145"/>
      <c r="I56" s="144"/>
      <c r="J56" s="144"/>
      <c r="K56" s="49"/>
    </row>
    <row r="57" spans="1:11">
      <c r="A57" s="49"/>
      <c r="B57" s="473">
        <v>50</v>
      </c>
      <c r="C57" s="145">
        <v>50</v>
      </c>
      <c r="D57" s="143">
        <v>0</v>
      </c>
      <c r="E57" s="143">
        <v>1</v>
      </c>
      <c r="F57" s="143">
        <v>0</v>
      </c>
      <c r="G57" s="143">
        <v>0</v>
      </c>
      <c r="I57" s="155">
        <f t="shared" ref="I57:I74" si="0">D57*7+E57*2</f>
        <v>2</v>
      </c>
      <c r="J57" s="155">
        <f t="shared" ref="J57:J74" si="1">F57*12.8+G57*13.8</f>
        <v>0</v>
      </c>
      <c r="K57" s="49"/>
    </row>
    <row r="58" spans="1:11">
      <c r="A58" s="49"/>
      <c r="B58" s="473"/>
      <c r="C58" s="145">
        <v>100</v>
      </c>
      <c r="D58" s="143">
        <v>1</v>
      </c>
      <c r="E58" s="143">
        <v>0</v>
      </c>
      <c r="F58" s="143">
        <v>0.06</v>
      </c>
      <c r="G58" s="143">
        <v>0</v>
      </c>
      <c r="I58" s="155">
        <f t="shared" si="0"/>
        <v>7</v>
      </c>
      <c r="J58" s="155">
        <f t="shared" si="1"/>
        <v>0.76800000000000002</v>
      </c>
      <c r="K58" s="49"/>
    </row>
    <row r="59" spans="1:11">
      <c r="A59" s="49"/>
      <c r="B59" s="473"/>
      <c r="C59" s="145">
        <v>150</v>
      </c>
      <c r="D59" s="143">
        <v>1</v>
      </c>
      <c r="E59" s="143">
        <v>0</v>
      </c>
      <c r="F59" s="143">
        <v>0.19</v>
      </c>
      <c r="G59" s="143">
        <v>0</v>
      </c>
      <c r="I59" s="155">
        <f t="shared" si="0"/>
        <v>7</v>
      </c>
      <c r="J59" s="155">
        <f t="shared" si="1"/>
        <v>2.4320000000000004</v>
      </c>
      <c r="K59" s="49"/>
    </row>
    <row r="60" spans="1:11">
      <c r="A60" s="49"/>
      <c r="B60" s="473"/>
      <c r="C60" s="145">
        <v>200</v>
      </c>
      <c r="D60" s="143">
        <v>1</v>
      </c>
      <c r="E60" s="143">
        <v>0</v>
      </c>
      <c r="F60" s="143">
        <v>0.35</v>
      </c>
      <c r="G60" s="143">
        <v>0</v>
      </c>
      <c r="I60" s="155">
        <f t="shared" si="0"/>
        <v>7</v>
      </c>
      <c r="J60" s="155">
        <f t="shared" si="1"/>
        <v>4.4799999999999995</v>
      </c>
      <c r="K60" s="49"/>
    </row>
    <row r="61" spans="1:11">
      <c r="A61" s="49"/>
      <c r="B61" s="473"/>
      <c r="C61" s="145">
        <v>250</v>
      </c>
      <c r="D61" s="143">
        <v>1</v>
      </c>
      <c r="E61" s="143">
        <v>0</v>
      </c>
      <c r="F61" s="143">
        <v>0.61</v>
      </c>
      <c r="G61" s="143">
        <v>0</v>
      </c>
      <c r="I61" s="155">
        <f t="shared" si="0"/>
        <v>7</v>
      </c>
      <c r="J61" s="155">
        <f t="shared" si="1"/>
        <v>7.8079999999999998</v>
      </c>
      <c r="K61" s="49"/>
    </row>
    <row r="62" spans="1:11">
      <c r="A62" s="49"/>
      <c r="B62" s="473"/>
      <c r="C62" s="145">
        <v>300</v>
      </c>
      <c r="D62" s="143">
        <v>1</v>
      </c>
      <c r="E62" s="143">
        <v>0</v>
      </c>
      <c r="F62" s="143">
        <v>1</v>
      </c>
      <c r="G62" s="143">
        <v>0.01</v>
      </c>
      <c r="I62" s="155">
        <f t="shared" si="0"/>
        <v>7</v>
      </c>
      <c r="J62" s="155">
        <f t="shared" si="1"/>
        <v>12.938000000000001</v>
      </c>
      <c r="K62" s="49"/>
    </row>
    <row r="63" spans="1:11">
      <c r="A63" s="49"/>
      <c r="B63" s="473">
        <v>100</v>
      </c>
      <c r="C63" s="145">
        <v>100</v>
      </c>
      <c r="D63" s="143">
        <v>1</v>
      </c>
      <c r="E63" s="143">
        <v>0</v>
      </c>
      <c r="F63" s="143">
        <v>0.06</v>
      </c>
      <c r="G63" s="143">
        <v>0</v>
      </c>
      <c r="I63" s="155">
        <f t="shared" si="0"/>
        <v>7</v>
      </c>
      <c r="J63" s="155">
        <f t="shared" si="1"/>
        <v>0.76800000000000002</v>
      </c>
      <c r="K63" s="49"/>
    </row>
    <row r="64" spans="1:11">
      <c r="A64" s="49"/>
      <c r="B64" s="473"/>
      <c r="C64" s="145">
        <v>150</v>
      </c>
      <c r="D64" s="143">
        <v>1</v>
      </c>
      <c r="E64" s="143">
        <v>0</v>
      </c>
      <c r="F64" s="143">
        <v>0.2</v>
      </c>
      <c r="G64" s="143">
        <v>0</v>
      </c>
      <c r="I64" s="155">
        <f t="shared" si="0"/>
        <v>7</v>
      </c>
      <c r="J64" s="155">
        <f t="shared" si="1"/>
        <v>2.5600000000000005</v>
      </c>
      <c r="K64" s="49"/>
    </row>
    <row r="65" spans="1:11">
      <c r="A65" s="49"/>
      <c r="B65" s="473"/>
      <c r="C65" s="145">
        <v>200</v>
      </c>
      <c r="D65" s="143">
        <v>1</v>
      </c>
      <c r="E65" s="143">
        <v>0</v>
      </c>
      <c r="F65" s="143">
        <v>0.4</v>
      </c>
      <c r="G65" s="143">
        <v>0</v>
      </c>
      <c r="I65" s="155">
        <f t="shared" si="0"/>
        <v>7</v>
      </c>
      <c r="J65" s="155">
        <f t="shared" si="1"/>
        <v>5.120000000000001</v>
      </c>
      <c r="K65" s="49"/>
    </row>
    <row r="66" spans="1:11">
      <c r="A66" s="49"/>
      <c r="B66" s="473"/>
      <c r="C66" s="145">
        <v>250</v>
      </c>
      <c r="D66" s="143">
        <v>1</v>
      </c>
      <c r="E66" s="143">
        <v>0</v>
      </c>
      <c r="F66" s="143">
        <v>0.78</v>
      </c>
      <c r="G66" s="143">
        <v>0</v>
      </c>
      <c r="I66" s="155">
        <f t="shared" si="0"/>
        <v>7</v>
      </c>
      <c r="J66" s="155">
        <f t="shared" si="1"/>
        <v>9.9840000000000018</v>
      </c>
      <c r="K66" s="49"/>
    </row>
    <row r="67" spans="1:11">
      <c r="A67" s="49"/>
      <c r="B67" s="473"/>
      <c r="C67" s="145">
        <v>300</v>
      </c>
      <c r="D67" s="143">
        <v>1</v>
      </c>
      <c r="E67" s="143">
        <v>0</v>
      </c>
      <c r="F67" s="143">
        <v>1</v>
      </c>
      <c r="G67" s="143">
        <v>0.05</v>
      </c>
      <c r="I67" s="155">
        <f t="shared" si="0"/>
        <v>7</v>
      </c>
      <c r="J67" s="155">
        <f t="shared" si="1"/>
        <v>13.49</v>
      </c>
      <c r="K67" s="49"/>
    </row>
    <row r="68" spans="1:11">
      <c r="A68" s="49"/>
      <c r="B68" s="473">
        <v>150</v>
      </c>
      <c r="C68" s="145">
        <v>150</v>
      </c>
      <c r="D68" s="143">
        <v>1</v>
      </c>
      <c r="E68" s="143">
        <v>0</v>
      </c>
      <c r="F68" s="143">
        <v>0.2</v>
      </c>
      <c r="G68" s="143">
        <v>0</v>
      </c>
      <c r="I68" s="155">
        <f t="shared" si="0"/>
        <v>7</v>
      </c>
      <c r="J68" s="155">
        <f t="shared" si="1"/>
        <v>2.5600000000000005</v>
      </c>
      <c r="K68" s="49"/>
    </row>
    <row r="69" spans="1:11">
      <c r="A69" s="49"/>
      <c r="B69" s="473"/>
      <c r="C69" s="145">
        <v>200</v>
      </c>
      <c r="D69" s="143">
        <v>1</v>
      </c>
      <c r="E69" s="143">
        <v>0</v>
      </c>
      <c r="F69" s="143">
        <v>0.4</v>
      </c>
      <c r="G69" s="143">
        <v>0</v>
      </c>
      <c r="I69" s="155">
        <f t="shared" si="0"/>
        <v>7</v>
      </c>
      <c r="J69" s="155">
        <f t="shared" si="1"/>
        <v>5.120000000000001</v>
      </c>
      <c r="K69" s="49"/>
    </row>
    <row r="70" spans="1:11">
      <c r="A70" s="49"/>
      <c r="B70" s="473"/>
      <c r="C70" s="145">
        <v>250</v>
      </c>
      <c r="D70" s="143">
        <v>1</v>
      </c>
      <c r="E70" s="143">
        <v>0</v>
      </c>
      <c r="F70" s="143">
        <v>0.82</v>
      </c>
      <c r="G70" s="143">
        <v>0</v>
      </c>
      <c r="I70" s="155">
        <f t="shared" si="0"/>
        <v>7</v>
      </c>
      <c r="J70" s="155">
        <f t="shared" si="1"/>
        <v>10.496</v>
      </c>
      <c r="K70" s="49"/>
    </row>
    <row r="71" spans="1:11">
      <c r="A71" s="49"/>
      <c r="B71" s="473"/>
      <c r="C71" s="145">
        <v>300</v>
      </c>
      <c r="D71" s="143">
        <v>1</v>
      </c>
      <c r="E71" s="143">
        <v>0</v>
      </c>
      <c r="F71" s="143">
        <v>1</v>
      </c>
      <c r="G71" s="143">
        <v>0.06</v>
      </c>
      <c r="I71" s="155">
        <f t="shared" si="0"/>
        <v>7</v>
      </c>
      <c r="J71" s="155">
        <f t="shared" si="1"/>
        <v>13.628</v>
      </c>
      <c r="K71" s="49"/>
    </row>
    <row r="72" spans="1:11">
      <c r="A72" s="49"/>
      <c r="B72" s="473">
        <v>200</v>
      </c>
      <c r="C72" s="145">
        <v>200</v>
      </c>
      <c r="D72" s="143">
        <v>1</v>
      </c>
      <c r="E72" s="143">
        <v>0</v>
      </c>
      <c r="F72" s="143">
        <v>0.4</v>
      </c>
      <c r="G72" s="143">
        <v>0</v>
      </c>
      <c r="I72" s="155">
        <f t="shared" si="0"/>
        <v>7</v>
      </c>
      <c r="J72" s="155">
        <f t="shared" si="1"/>
        <v>5.120000000000001</v>
      </c>
      <c r="K72" s="49"/>
    </row>
    <row r="73" spans="1:11">
      <c r="A73" s="49"/>
      <c r="B73" s="473"/>
      <c r="C73" s="145">
        <v>250</v>
      </c>
      <c r="D73" s="143">
        <v>1</v>
      </c>
      <c r="E73" s="143">
        <v>0</v>
      </c>
      <c r="F73" s="143">
        <v>0.82</v>
      </c>
      <c r="G73" s="143">
        <v>0</v>
      </c>
      <c r="I73" s="155">
        <f t="shared" si="0"/>
        <v>7</v>
      </c>
      <c r="J73" s="155">
        <f t="shared" si="1"/>
        <v>10.496</v>
      </c>
      <c r="K73" s="49"/>
    </row>
    <row r="74" spans="1:11">
      <c r="A74" s="49"/>
      <c r="B74" s="473"/>
      <c r="C74" s="145">
        <v>300</v>
      </c>
      <c r="D74" s="143">
        <v>1</v>
      </c>
      <c r="E74" s="143">
        <v>0</v>
      </c>
      <c r="F74" s="143">
        <v>1</v>
      </c>
      <c r="G74" s="143">
        <v>7.0000000000000007E-2</v>
      </c>
      <c r="I74" s="155">
        <f t="shared" si="0"/>
        <v>7</v>
      </c>
      <c r="J74" s="155">
        <f t="shared" si="1"/>
        <v>13.766000000000002</v>
      </c>
      <c r="K74" s="49"/>
    </row>
    <row r="75" spans="1:11">
      <c r="A75" s="49"/>
      <c r="B75" s="49"/>
      <c r="C75" s="49"/>
      <c r="D75" s="49"/>
      <c r="E75" s="49"/>
      <c r="F75" s="49"/>
      <c r="G75" s="49"/>
      <c r="K75" s="49"/>
    </row>
    <row r="76" spans="1:11">
      <c r="A76" s="49"/>
      <c r="B76" s="150" t="s">
        <v>195</v>
      </c>
      <c r="I76" s="49"/>
      <c r="J76" s="49"/>
      <c r="K76" s="49"/>
    </row>
    <row r="77" spans="1:11">
      <c r="A77" s="49"/>
      <c r="B77" s="150"/>
      <c r="K77" s="49"/>
    </row>
    <row r="78" spans="1:11">
      <c r="A78" s="49"/>
      <c r="B78" s="145" t="s">
        <v>194</v>
      </c>
      <c r="C78" s="154" t="s">
        <v>193</v>
      </c>
      <c r="D78" s="154" t="s">
        <v>192</v>
      </c>
      <c r="E78" s="154" t="s">
        <v>191</v>
      </c>
      <c r="F78" s="144" t="s">
        <v>190</v>
      </c>
      <c r="K78" s="49"/>
    </row>
    <row r="79" spans="1:11">
      <c r="A79" s="49"/>
      <c r="B79" s="145" t="s">
        <v>107</v>
      </c>
      <c r="C79" s="16"/>
      <c r="D79" s="16"/>
      <c r="E79" s="16"/>
      <c r="F79" s="153" t="s">
        <v>189</v>
      </c>
      <c r="K79" s="49"/>
    </row>
    <row r="80" spans="1:11">
      <c r="A80" s="49"/>
      <c r="B80" s="145"/>
      <c r="C80" s="16"/>
      <c r="D80" s="16"/>
      <c r="E80" s="16"/>
      <c r="F80" s="48"/>
      <c r="K80" s="49"/>
    </row>
    <row r="81" spans="1:11">
      <c r="A81" s="49"/>
      <c r="B81" s="145">
        <v>50</v>
      </c>
      <c r="C81" s="145">
        <v>24</v>
      </c>
      <c r="D81" s="145" t="s">
        <v>186</v>
      </c>
      <c r="E81" s="145" t="s">
        <v>185</v>
      </c>
      <c r="F81" s="145">
        <v>20.100000000000001</v>
      </c>
      <c r="K81" s="49"/>
    </row>
    <row r="82" spans="1:11">
      <c r="A82" s="49"/>
      <c r="B82" s="145"/>
      <c r="C82" s="145">
        <v>36</v>
      </c>
      <c r="D82" s="145" t="s">
        <v>183</v>
      </c>
      <c r="E82" s="145" t="s">
        <v>188</v>
      </c>
      <c r="F82" s="145">
        <v>25.3</v>
      </c>
      <c r="K82" s="49"/>
    </row>
    <row r="83" spans="1:11" ht="14.4" thickBot="1">
      <c r="A83" s="49"/>
      <c r="B83" s="145"/>
      <c r="C83" s="145"/>
      <c r="D83" s="145"/>
      <c r="E83" s="145"/>
      <c r="F83" s="152">
        <f>F82+F81</f>
        <v>45.400000000000006</v>
      </c>
      <c r="K83" s="49"/>
    </row>
    <row r="84" spans="1:11">
      <c r="A84" s="49"/>
      <c r="B84" s="145"/>
      <c r="C84" s="145"/>
      <c r="D84" s="145"/>
      <c r="E84" s="145"/>
      <c r="F84" s="145"/>
      <c r="K84" s="49"/>
    </row>
    <row r="85" spans="1:11">
      <c r="A85" s="49"/>
      <c r="B85" s="145">
        <v>100</v>
      </c>
      <c r="C85" s="145">
        <v>24</v>
      </c>
      <c r="D85" s="145" t="s">
        <v>186</v>
      </c>
      <c r="E85" s="145" t="s">
        <v>185</v>
      </c>
      <c r="F85" s="145">
        <v>20.100000000000001</v>
      </c>
      <c r="K85" s="49"/>
    </row>
    <row r="86" spans="1:11">
      <c r="A86" s="49"/>
      <c r="B86" s="145"/>
      <c r="C86" s="145">
        <v>36</v>
      </c>
      <c r="D86" s="145" t="s">
        <v>183</v>
      </c>
      <c r="E86" s="145" t="s">
        <v>188</v>
      </c>
      <c r="F86" s="145">
        <v>25.3</v>
      </c>
      <c r="K86" s="49"/>
    </row>
    <row r="87" spans="1:11">
      <c r="A87" s="49"/>
      <c r="B87" s="145"/>
      <c r="C87" s="145">
        <v>36</v>
      </c>
      <c r="D87" s="145" t="s">
        <v>187</v>
      </c>
      <c r="E87" s="145" t="s">
        <v>182</v>
      </c>
      <c r="F87" s="145">
        <v>32.799999999999997</v>
      </c>
      <c r="K87" s="49"/>
    </row>
    <row r="88" spans="1:11" ht="14.4" thickBot="1">
      <c r="A88" s="49"/>
      <c r="B88" s="145"/>
      <c r="C88" s="145"/>
      <c r="D88" s="145"/>
      <c r="E88" s="145"/>
      <c r="F88" s="152">
        <f>SUM(F85:F87)</f>
        <v>78.2</v>
      </c>
      <c r="K88" s="49"/>
    </row>
    <row r="89" spans="1:11">
      <c r="A89" s="49"/>
      <c r="B89" s="145"/>
      <c r="C89" s="145"/>
      <c r="D89" s="145"/>
      <c r="E89" s="145"/>
      <c r="F89" s="145"/>
      <c r="K89" s="49"/>
    </row>
    <row r="90" spans="1:11">
      <c r="A90" s="49"/>
      <c r="B90" s="145">
        <v>150</v>
      </c>
      <c r="C90" s="145">
        <v>36</v>
      </c>
      <c r="D90" s="145" t="s">
        <v>186</v>
      </c>
      <c r="E90" s="145" t="s">
        <v>185</v>
      </c>
      <c r="F90" s="145">
        <v>20.100000000000001</v>
      </c>
      <c r="K90" s="49"/>
    </row>
    <row r="91" spans="1:11">
      <c r="A91" s="49"/>
      <c r="B91" s="145"/>
      <c r="C91" s="145">
        <v>36</v>
      </c>
      <c r="D91" s="145" t="s">
        <v>183</v>
      </c>
      <c r="E91" s="145" t="s">
        <v>184</v>
      </c>
      <c r="F91" s="145">
        <v>103.3</v>
      </c>
      <c r="K91" s="49"/>
    </row>
    <row r="92" spans="1:11" ht="14.4" thickBot="1">
      <c r="A92" s="49"/>
      <c r="B92" s="145"/>
      <c r="C92" s="145"/>
      <c r="D92" s="145"/>
      <c r="E92" s="145"/>
      <c r="F92" s="152">
        <f>F91+F90</f>
        <v>123.4</v>
      </c>
      <c r="K92" s="49"/>
    </row>
    <row r="93" spans="1:11">
      <c r="A93" s="49"/>
      <c r="B93" s="145"/>
      <c r="C93" s="145"/>
      <c r="D93" s="145"/>
      <c r="E93" s="145"/>
      <c r="F93" s="145"/>
      <c r="K93" s="49"/>
    </row>
    <row r="94" spans="1:11">
      <c r="A94" s="49"/>
      <c r="B94" s="145">
        <v>200</v>
      </c>
      <c r="C94" s="145">
        <v>42</v>
      </c>
      <c r="D94" s="145" t="s">
        <v>186</v>
      </c>
      <c r="E94" s="145" t="s">
        <v>185</v>
      </c>
      <c r="F94" s="145">
        <v>20.100000000000001</v>
      </c>
      <c r="K94" s="49"/>
    </row>
    <row r="95" spans="1:11">
      <c r="A95" s="49"/>
      <c r="B95" s="16"/>
      <c r="C95" s="145">
        <v>42</v>
      </c>
      <c r="D95" s="145" t="s">
        <v>182</v>
      </c>
      <c r="E95" s="145" t="s">
        <v>184</v>
      </c>
      <c r="F95" s="145">
        <v>32.700000000000003</v>
      </c>
      <c r="K95" s="49"/>
    </row>
    <row r="96" spans="1:11">
      <c r="A96" s="49"/>
      <c r="C96" s="145">
        <v>48</v>
      </c>
      <c r="D96" s="145" t="s">
        <v>183</v>
      </c>
      <c r="E96" s="145" t="s">
        <v>182</v>
      </c>
      <c r="F96" s="145">
        <v>70.7</v>
      </c>
      <c r="K96" s="49"/>
    </row>
    <row r="97" spans="1:11" ht="14.4" thickBot="1">
      <c r="A97" s="49"/>
      <c r="F97" s="152">
        <f>F96+F95+F94</f>
        <v>123.5</v>
      </c>
      <c r="K97" s="49"/>
    </row>
    <row r="98" spans="1:11">
      <c r="A98" s="49"/>
      <c r="K98" s="49"/>
    </row>
    <row r="99" spans="1:11">
      <c r="A99" s="49"/>
      <c r="B99" s="151"/>
      <c r="C99" s="151"/>
      <c r="D99" s="151"/>
      <c r="E99" s="151"/>
      <c r="F99" s="151"/>
      <c r="G99" s="151"/>
      <c r="H99" s="151"/>
      <c r="K99" s="49"/>
    </row>
    <row r="100" spans="1:11">
      <c r="A100" s="49"/>
      <c r="I100" s="16"/>
      <c r="J100" s="16"/>
      <c r="K100" s="49"/>
    </row>
    <row r="101" spans="1:11">
      <c r="A101" s="49"/>
      <c r="B101" s="150" t="s">
        <v>181</v>
      </c>
      <c r="I101" s="16"/>
      <c r="J101" s="16"/>
      <c r="K101" s="49"/>
    </row>
    <row r="102" spans="1:11">
      <c r="A102" s="49"/>
      <c r="B102" s="150"/>
      <c r="K102" s="49"/>
    </row>
    <row r="103" spans="1:11" ht="52.8">
      <c r="A103" s="49"/>
      <c r="B103" s="149"/>
      <c r="C103" s="148"/>
      <c r="D103" s="148" t="s">
        <v>180</v>
      </c>
      <c r="E103" s="145" t="s">
        <v>179</v>
      </c>
      <c r="G103" s="105" t="s">
        <v>178</v>
      </c>
      <c r="H103" s="16"/>
      <c r="K103" s="49"/>
    </row>
    <row r="104" spans="1:11">
      <c r="A104" s="49"/>
      <c r="B104" s="147" t="s">
        <v>113</v>
      </c>
      <c r="C104" s="147" t="s">
        <v>112</v>
      </c>
      <c r="D104" s="146"/>
      <c r="E104" s="146"/>
      <c r="F104" s="144" t="s">
        <v>177</v>
      </c>
      <c r="G104" s="144" t="s">
        <v>176</v>
      </c>
      <c r="H104" s="94"/>
      <c r="K104" s="49"/>
    </row>
    <row r="105" spans="1:11">
      <c r="A105" s="49"/>
      <c r="B105" s="145" t="s">
        <v>107</v>
      </c>
      <c r="C105" s="145" t="s">
        <v>106</v>
      </c>
      <c r="D105" s="145"/>
      <c r="F105" s="144"/>
      <c r="G105" s="144"/>
      <c r="K105" s="49"/>
    </row>
    <row r="106" spans="1:11">
      <c r="A106" s="49"/>
      <c r="K106" s="49"/>
    </row>
    <row r="107" spans="1:11">
      <c r="A107" s="49"/>
      <c r="B107" s="13">
        <v>50</v>
      </c>
      <c r="D107" s="143">
        <v>1</v>
      </c>
      <c r="F107" s="105">
        <f>D107*1+E107*6</f>
        <v>1</v>
      </c>
      <c r="G107" s="142">
        <v>0</v>
      </c>
      <c r="K107" s="49"/>
    </row>
    <row r="108" spans="1:11">
      <c r="A108" s="49"/>
      <c r="B108" s="13">
        <v>100</v>
      </c>
      <c r="D108" s="143">
        <v>1</v>
      </c>
      <c r="F108" s="105">
        <f>D108*1+E108*6</f>
        <v>1</v>
      </c>
      <c r="G108" s="142">
        <v>0</v>
      </c>
      <c r="K108" s="49"/>
    </row>
    <row r="109" spans="1:11">
      <c r="A109" s="49"/>
      <c r="D109" s="143"/>
      <c r="F109" s="105"/>
      <c r="G109" s="142"/>
      <c r="K109" s="49"/>
    </row>
    <row r="110" spans="1:11">
      <c r="A110" s="49"/>
      <c r="B110" s="13">
        <v>150</v>
      </c>
      <c r="E110" s="143">
        <v>1</v>
      </c>
      <c r="F110" s="105">
        <f>D110*1+E110*6</f>
        <v>6</v>
      </c>
      <c r="G110" s="142">
        <v>0</v>
      </c>
      <c r="K110" s="49"/>
    </row>
    <row r="111" spans="1:11">
      <c r="A111" s="49"/>
      <c r="B111" s="13">
        <v>200</v>
      </c>
      <c r="E111" s="143">
        <v>1</v>
      </c>
      <c r="F111" s="105">
        <f>D111*1+E111*6</f>
        <v>6</v>
      </c>
      <c r="G111" s="142">
        <v>0</v>
      </c>
      <c r="K111" s="49"/>
    </row>
    <row r="112" spans="1:11">
      <c r="A112" s="49"/>
      <c r="K112" s="49"/>
    </row>
    <row r="113" spans="1:28" s="87" customFormat="1"/>
    <row r="114" spans="1:28">
      <c r="A114" s="49"/>
      <c r="K114" s="49"/>
      <c r="T114" s="49"/>
      <c r="U114" s="49"/>
      <c r="V114" s="49"/>
      <c r="W114" s="49"/>
      <c r="X114" s="49"/>
      <c r="Y114" s="49"/>
      <c r="Z114" s="49"/>
      <c r="AA114" s="49"/>
      <c r="AB114" s="49"/>
    </row>
    <row r="115" spans="1:28">
      <c r="A115" s="49"/>
      <c r="K115" s="49"/>
      <c r="T115" s="49"/>
      <c r="U115" s="49"/>
      <c r="V115" s="49"/>
      <c r="W115" s="49"/>
      <c r="X115" s="49"/>
      <c r="Y115" s="49"/>
      <c r="Z115" s="49"/>
      <c r="AA115" s="49"/>
      <c r="AB115" s="49"/>
    </row>
    <row r="116" spans="1:28">
      <c r="A116" s="49"/>
      <c r="K116" s="125" t="s">
        <v>175</v>
      </c>
      <c r="T116" s="49"/>
      <c r="U116" s="49"/>
      <c r="V116" s="49"/>
      <c r="W116" s="49"/>
      <c r="X116" s="49"/>
      <c r="Y116" s="49"/>
      <c r="Z116" s="49"/>
      <c r="AA116" s="49"/>
      <c r="AB116" s="49"/>
    </row>
    <row r="117" spans="1:28">
      <c r="A117" s="49"/>
      <c r="B117" s="124" t="s">
        <v>174</v>
      </c>
      <c r="K117" s="49"/>
      <c r="T117" s="49"/>
      <c r="U117" s="49"/>
      <c r="V117" s="49"/>
      <c r="W117" s="49"/>
      <c r="X117" s="49"/>
      <c r="Y117" s="49"/>
      <c r="Z117" s="49"/>
      <c r="AA117" s="49"/>
      <c r="AB117" s="49"/>
    </row>
    <row r="118" spans="1:28">
      <c r="A118" s="49"/>
      <c r="B118" s="43"/>
      <c r="K118" s="49"/>
      <c r="T118" s="49"/>
      <c r="U118" s="49"/>
      <c r="V118" s="49"/>
      <c r="W118" s="49"/>
      <c r="X118" s="49"/>
      <c r="Y118" s="49"/>
      <c r="Z118" s="49"/>
      <c r="AA118" s="49"/>
      <c r="AB118" s="49"/>
    </row>
    <row r="119" spans="1:28">
      <c r="A119" s="49"/>
      <c r="B119" s="129" t="s">
        <v>173</v>
      </c>
      <c r="C119" s="94"/>
      <c r="D119" s="94"/>
      <c r="E119" s="94"/>
      <c r="K119" s="49"/>
      <c r="T119" s="49"/>
      <c r="U119" s="49"/>
      <c r="V119" s="49"/>
      <c r="W119" s="49"/>
      <c r="X119" s="49"/>
      <c r="Y119" s="49"/>
      <c r="Z119" s="49"/>
      <c r="AA119" s="49"/>
      <c r="AB119" s="49"/>
    </row>
    <row r="120" spans="1:28">
      <c r="A120" s="49"/>
      <c r="B120" s="94" t="s">
        <v>172</v>
      </c>
      <c r="C120" s="94"/>
      <c r="D120" s="107">
        <f>D15</f>
        <v>14101.476000000001</v>
      </c>
      <c r="E120" s="141" t="s">
        <v>171</v>
      </c>
      <c r="K120" s="49"/>
      <c r="T120" s="49"/>
      <c r="U120" s="49"/>
      <c r="V120" s="49"/>
      <c r="W120" s="49"/>
      <c r="X120" s="49"/>
      <c r="Y120" s="49"/>
      <c r="Z120" s="49"/>
      <c r="AA120" s="49"/>
      <c r="AB120" s="49"/>
    </row>
    <row r="121" spans="1:28">
      <c r="A121" s="49"/>
      <c r="B121" s="94" t="s">
        <v>170</v>
      </c>
      <c r="C121" s="94"/>
      <c r="D121" s="107">
        <f>D16</f>
        <v>146</v>
      </c>
      <c r="E121" s="141" t="s">
        <v>169</v>
      </c>
      <c r="T121" s="49"/>
      <c r="U121" s="49"/>
      <c r="V121" s="49"/>
      <c r="W121" s="49"/>
      <c r="X121" s="49"/>
      <c r="Y121" s="49"/>
      <c r="Z121" s="49"/>
      <c r="AA121" s="49"/>
      <c r="AB121" s="49"/>
    </row>
    <row r="122" spans="1:28">
      <c r="A122" s="49"/>
      <c r="B122" s="94" t="s">
        <v>168</v>
      </c>
      <c r="C122" s="94"/>
      <c r="D122" s="107">
        <f>D17</f>
        <v>2337</v>
      </c>
      <c r="E122" s="141" t="s">
        <v>103</v>
      </c>
      <c r="T122" s="49"/>
      <c r="U122" s="49"/>
      <c r="V122" s="49"/>
      <c r="W122" s="49"/>
      <c r="X122" s="49"/>
      <c r="Y122" s="49"/>
      <c r="Z122" s="49"/>
      <c r="AA122" s="49"/>
      <c r="AB122" s="49"/>
    </row>
    <row r="123" spans="1:28">
      <c r="A123" s="49"/>
      <c r="B123" s="94" t="s">
        <v>167</v>
      </c>
      <c r="C123" s="94"/>
      <c r="D123" s="107" t="e">
        <f>D18</f>
        <v>#REF!</v>
      </c>
      <c r="E123" s="141" t="s">
        <v>166</v>
      </c>
      <c r="T123" s="49"/>
      <c r="U123" s="49"/>
      <c r="V123" s="49"/>
      <c r="W123" s="49"/>
      <c r="X123" s="49"/>
      <c r="Y123" s="49"/>
      <c r="Z123" s="49"/>
      <c r="AA123" s="49"/>
      <c r="AB123" s="49"/>
    </row>
    <row r="124" spans="1:28">
      <c r="A124" s="49"/>
      <c r="B124" s="94"/>
      <c r="C124" s="94"/>
      <c r="D124" s="107"/>
      <c r="E124" s="141"/>
      <c r="T124" s="49"/>
      <c r="U124" s="49"/>
      <c r="V124" s="49"/>
      <c r="W124" s="49"/>
      <c r="X124" s="49"/>
      <c r="Y124" s="49"/>
      <c r="Z124" s="49"/>
      <c r="AA124" s="49"/>
      <c r="AB124" s="49"/>
    </row>
    <row r="125" spans="1:28">
      <c r="A125" s="49"/>
      <c r="B125" s="94"/>
      <c r="C125" s="94"/>
      <c r="D125" s="107"/>
      <c r="E125" s="141"/>
      <c r="T125" s="49"/>
      <c r="U125" s="49"/>
      <c r="V125" s="49"/>
      <c r="W125" s="49"/>
      <c r="X125" s="49"/>
      <c r="Y125" s="49"/>
      <c r="Z125" s="49"/>
      <c r="AA125" s="49"/>
      <c r="AB125" s="49"/>
    </row>
    <row r="126" spans="1:28">
      <c r="A126" s="49"/>
      <c r="B126" s="129" t="s">
        <v>165</v>
      </c>
      <c r="C126" s="94"/>
      <c r="D126" s="107"/>
      <c r="E126" s="141"/>
      <c r="T126" s="49"/>
      <c r="U126" s="49"/>
      <c r="V126" s="49"/>
      <c r="W126" s="49"/>
      <c r="X126" s="49"/>
      <c r="Y126" s="49"/>
      <c r="Z126" s="49"/>
      <c r="AA126" s="49"/>
      <c r="AB126" s="49"/>
    </row>
    <row r="127" spans="1:28">
      <c r="A127" s="49"/>
      <c r="B127" s="139" t="s">
        <v>164</v>
      </c>
      <c r="C127" s="139"/>
      <c r="D127" s="138" t="e">
        <f>E36*1000</f>
        <v>#REF!</v>
      </c>
      <c r="E127" s="137" t="s">
        <v>163</v>
      </c>
      <c r="F127" s="49"/>
      <c r="T127" s="49"/>
      <c r="U127" s="49"/>
      <c r="V127" s="49"/>
      <c r="W127" s="49"/>
      <c r="X127" s="49"/>
      <c r="Y127" s="49"/>
      <c r="Z127" s="49"/>
      <c r="AA127" s="49"/>
      <c r="AB127" s="49"/>
    </row>
    <row r="128" spans="1:28">
      <c r="A128" s="49"/>
      <c r="B128" s="139"/>
      <c r="C128" s="139"/>
      <c r="D128" s="139"/>
      <c r="E128" s="140"/>
      <c r="F128" s="49"/>
      <c r="T128" s="49"/>
      <c r="U128" s="49"/>
      <c r="V128" s="49"/>
      <c r="W128" s="49"/>
      <c r="X128" s="49"/>
      <c r="Y128" s="49"/>
      <c r="Z128" s="49"/>
      <c r="AA128" s="49"/>
      <c r="AB128" s="49"/>
    </row>
    <row r="129" spans="1:28">
      <c r="A129" s="49"/>
      <c r="B129" s="139" t="s">
        <v>162</v>
      </c>
      <c r="C129" s="139"/>
      <c r="D129" s="133" t="e">
        <f>'Net Plant'!G8*1000</f>
        <v>#REF!</v>
      </c>
      <c r="E129" s="137" t="s">
        <v>161</v>
      </c>
      <c r="T129" s="49"/>
      <c r="U129" s="49"/>
      <c r="V129" s="49"/>
      <c r="W129" s="49"/>
      <c r="X129" s="49"/>
      <c r="Y129" s="49"/>
      <c r="Z129" s="49"/>
      <c r="AA129" s="49"/>
      <c r="AB129" s="49"/>
    </row>
    <row r="130" spans="1:28">
      <c r="A130" s="49"/>
      <c r="B130" s="139"/>
      <c r="C130" s="139"/>
      <c r="D130" s="138"/>
      <c r="E130" s="137"/>
      <c r="F130" s="49"/>
      <c r="T130" s="49"/>
      <c r="U130" s="49"/>
      <c r="V130" s="49"/>
      <c r="W130" s="49"/>
      <c r="X130" s="49"/>
      <c r="Y130" s="49"/>
      <c r="Z130" s="49"/>
      <c r="AA130" s="49"/>
      <c r="AB130" s="49"/>
    </row>
    <row r="131" spans="1:28">
      <c r="A131" s="49"/>
      <c r="B131" s="94"/>
      <c r="C131" s="94"/>
      <c r="D131" s="136"/>
      <c r="E131" s="102"/>
      <c r="T131" s="49"/>
      <c r="U131" s="49"/>
      <c r="V131" s="49"/>
      <c r="W131" s="49"/>
      <c r="X131" s="49"/>
      <c r="Y131" s="49"/>
      <c r="Z131" s="49"/>
      <c r="AA131" s="49"/>
      <c r="AB131" s="49"/>
    </row>
    <row r="132" spans="1:28">
      <c r="A132" s="49"/>
      <c r="B132" s="94"/>
      <c r="C132" s="94"/>
      <c r="D132" s="105" t="s">
        <v>160</v>
      </c>
      <c r="E132" s="102"/>
      <c r="F132" s="135" t="s">
        <v>159</v>
      </c>
      <c r="T132" s="49"/>
      <c r="U132" s="49"/>
      <c r="V132" s="49"/>
      <c r="W132" s="49"/>
      <c r="X132" s="49"/>
      <c r="Y132" s="49"/>
      <c r="Z132" s="49"/>
      <c r="AA132" s="49"/>
      <c r="AB132" s="49"/>
    </row>
    <row r="133" spans="1:28">
      <c r="A133" s="49"/>
      <c r="B133" s="94"/>
      <c r="C133" s="94"/>
      <c r="D133" s="134" t="s">
        <v>158</v>
      </c>
      <c r="E133" s="102"/>
      <c r="F133" s="134" t="s">
        <v>157</v>
      </c>
      <c r="T133" s="49"/>
      <c r="U133" s="49"/>
      <c r="V133" s="49"/>
      <c r="W133" s="49"/>
      <c r="X133" s="49"/>
      <c r="Y133" s="49"/>
      <c r="Z133" s="49"/>
      <c r="AA133" s="49"/>
      <c r="AB133" s="49"/>
    </row>
    <row r="134" spans="1:28">
      <c r="A134" s="49"/>
      <c r="B134" s="94" t="s">
        <v>156</v>
      </c>
      <c r="C134" s="94"/>
      <c r="D134" s="133" t="e">
        <f>'Net Plant'!G13*1000</f>
        <v>#REF!</v>
      </c>
      <c r="E134" s="102" t="s">
        <v>155</v>
      </c>
      <c r="F134" s="132" t="e">
        <f>D134/$D$129*$D$127</f>
        <v>#REF!</v>
      </c>
      <c r="G134" s="102" t="str">
        <f>"K = ("&amp;E134&amp;"/F) x E"</f>
        <v>K = (G/F) x E</v>
      </c>
      <c r="T134" s="49"/>
      <c r="U134" s="49"/>
      <c r="V134" s="49"/>
      <c r="W134" s="49"/>
      <c r="X134" s="49"/>
      <c r="Y134" s="49"/>
      <c r="Z134" s="49"/>
      <c r="AA134" s="49"/>
      <c r="AB134" s="49"/>
    </row>
    <row r="135" spans="1:28">
      <c r="A135" s="49"/>
      <c r="B135" s="94" t="s">
        <v>154</v>
      </c>
      <c r="C135" s="94"/>
      <c r="D135" s="133" t="e">
        <f>'Net Plant'!G14*1000</f>
        <v>#REF!</v>
      </c>
      <c r="E135" s="102" t="s">
        <v>153</v>
      </c>
      <c r="F135" s="132" t="e">
        <f>D135/$D$129*$D$127</f>
        <v>#REF!</v>
      </c>
      <c r="G135" s="102" t="str">
        <f>"L = ("&amp;E135&amp;"/F) x E"</f>
        <v>L = (H/F) x E</v>
      </c>
      <c r="T135" s="49"/>
      <c r="U135" s="49"/>
      <c r="V135" s="49"/>
      <c r="W135" s="49"/>
      <c r="X135" s="49"/>
      <c r="Y135" s="49"/>
      <c r="Z135" s="49"/>
      <c r="AA135" s="49"/>
      <c r="AB135" s="49"/>
    </row>
    <row r="136" spans="1:28">
      <c r="A136" s="49"/>
      <c r="B136" s="94" t="s">
        <v>152</v>
      </c>
      <c r="C136" s="94"/>
      <c r="D136" s="133" t="e">
        <f>'Net Plant'!G15*1000</f>
        <v>#REF!</v>
      </c>
      <c r="E136" s="102" t="s">
        <v>151</v>
      </c>
      <c r="F136" s="132" t="e">
        <f>D136/$D$129*$D$127</f>
        <v>#REF!</v>
      </c>
      <c r="G136" s="102" t="str">
        <f>"M = ("&amp;E136&amp;"/F) x E"</f>
        <v>M = (I/F) x E</v>
      </c>
      <c r="T136" s="49"/>
      <c r="U136" s="49"/>
      <c r="V136" s="49"/>
      <c r="W136" s="49"/>
      <c r="X136" s="49"/>
      <c r="Y136" s="49"/>
      <c r="Z136" s="49"/>
      <c r="AA136" s="49"/>
      <c r="AB136" s="49"/>
    </row>
    <row r="137" spans="1:28">
      <c r="A137" s="49"/>
      <c r="B137" s="94" t="s">
        <v>150</v>
      </c>
      <c r="C137" s="94"/>
      <c r="D137" s="133" t="e">
        <f>'Net Plant'!G16*1000</f>
        <v>#REF!</v>
      </c>
      <c r="E137" s="102" t="s">
        <v>149</v>
      </c>
      <c r="F137" s="132" t="e">
        <f>D137/$D$129*$D$127</f>
        <v>#REF!</v>
      </c>
      <c r="G137" s="102" t="str">
        <f>"N = ("&amp;E137&amp;"/F) x E"</f>
        <v>N = (J/F) x E</v>
      </c>
      <c r="T137" s="49"/>
      <c r="U137" s="49"/>
      <c r="V137" s="49"/>
      <c r="W137" s="49"/>
      <c r="X137" s="49"/>
      <c r="Y137" s="49"/>
      <c r="Z137" s="49"/>
      <c r="AA137" s="49"/>
      <c r="AB137" s="49"/>
    </row>
    <row r="138" spans="1:28">
      <c r="A138" s="49"/>
      <c r="B138" s="94"/>
      <c r="C138" s="94"/>
      <c r="D138" s="131"/>
      <c r="E138" s="130"/>
      <c r="T138" s="49"/>
      <c r="U138" s="49"/>
      <c r="V138" s="49"/>
      <c r="W138" s="49"/>
      <c r="X138" s="49"/>
      <c r="Y138" s="49"/>
      <c r="Z138" s="49"/>
      <c r="AA138" s="49"/>
      <c r="AB138" s="49"/>
    </row>
    <row r="139" spans="1:28">
      <c r="A139" s="49"/>
      <c r="B139" s="94"/>
      <c r="C139" s="94"/>
      <c r="D139" s="131"/>
      <c r="E139" s="130"/>
      <c r="T139" s="49"/>
      <c r="U139" s="49"/>
      <c r="V139" s="49"/>
      <c r="W139" s="49"/>
      <c r="X139" s="49"/>
      <c r="Y139" s="49"/>
      <c r="Z139" s="49"/>
      <c r="AA139" s="49"/>
      <c r="AB139" s="49"/>
    </row>
    <row r="140" spans="1:28">
      <c r="A140" s="49"/>
      <c r="B140" s="129" t="s">
        <v>148</v>
      </c>
      <c r="C140" s="94"/>
      <c r="D140" s="94"/>
      <c r="E140" s="105"/>
      <c r="T140" s="49"/>
      <c r="U140" s="49"/>
      <c r="V140" s="49"/>
      <c r="W140" s="49"/>
      <c r="X140" s="49"/>
      <c r="Y140" s="49"/>
      <c r="Z140" s="49"/>
      <c r="AA140" s="49"/>
      <c r="AB140" s="49"/>
    </row>
    <row r="141" spans="1:28">
      <c r="A141" s="49"/>
      <c r="B141" s="94" t="s">
        <v>147</v>
      </c>
      <c r="C141" s="94" t="s">
        <v>146</v>
      </c>
      <c r="D141" s="128" t="e">
        <f>F134/D120</f>
        <v>#REF!</v>
      </c>
      <c r="E141" s="102" t="s">
        <v>145</v>
      </c>
      <c r="T141" s="49"/>
      <c r="U141" s="49"/>
      <c r="V141" s="49"/>
      <c r="W141" s="49"/>
      <c r="X141" s="49"/>
      <c r="Y141" s="49"/>
      <c r="Z141" s="49"/>
      <c r="AA141" s="49"/>
      <c r="AB141" s="49"/>
    </row>
    <row r="142" spans="1:28">
      <c r="A142" s="49"/>
      <c r="B142" s="94" t="s">
        <v>144</v>
      </c>
      <c r="C142" s="94" t="s">
        <v>143</v>
      </c>
      <c r="D142" s="128" t="e">
        <f>F135/D121</f>
        <v>#REF!</v>
      </c>
      <c r="E142" s="102" t="s">
        <v>142</v>
      </c>
      <c r="T142" s="49"/>
      <c r="U142" s="49"/>
      <c r="V142" s="49"/>
      <c r="W142" s="49"/>
      <c r="X142" s="49"/>
      <c r="Y142" s="49"/>
      <c r="Z142" s="49"/>
      <c r="AA142" s="49"/>
      <c r="AB142" s="49"/>
    </row>
    <row r="143" spans="1:28">
      <c r="A143" s="49"/>
      <c r="B143" s="94" t="s">
        <v>141</v>
      </c>
      <c r="C143" s="94" t="s">
        <v>140</v>
      </c>
      <c r="D143" s="128" t="e">
        <f>F136/D122</f>
        <v>#REF!</v>
      </c>
      <c r="E143" s="102" t="s">
        <v>139</v>
      </c>
      <c r="T143" s="49"/>
      <c r="U143" s="49"/>
      <c r="V143" s="49"/>
      <c r="W143" s="49"/>
      <c r="X143" s="49"/>
      <c r="Y143" s="49"/>
      <c r="Z143" s="49"/>
      <c r="AA143" s="49"/>
      <c r="AB143" s="49"/>
    </row>
    <row r="144" spans="1:28">
      <c r="A144" s="49"/>
      <c r="B144" s="94" t="s">
        <v>138</v>
      </c>
      <c r="C144" s="94" t="s">
        <v>137</v>
      </c>
      <c r="D144" s="127" t="e">
        <f>F137/D123</f>
        <v>#REF!</v>
      </c>
      <c r="E144" s="102" t="s">
        <v>136</v>
      </c>
      <c r="T144" s="49"/>
      <c r="U144" s="49"/>
      <c r="V144" s="49"/>
      <c r="W144" s="49"/>
      <c r="X144" s="49"/>
      <c r="Y144" s="49"/>
      <c r="Z144" s="49"/>
      <c r="AA144" s="49"/>
      <c r="AB144" s="49"/>
    </row>
    <row r="145" spans="1:28">
      <c r="A145" s="49"/>
      <c r="B145" s="94" t="s">
        <v>135</v>
      </c>
      <c r="C145" s="94" t="s">
        <v>97</v>
      </c>
      <c r="D145" s="126" t="e">
        <f>D45</f>
        <v>#REF!</v>
      </c>
      <c r="E145" s="102" t="s">
        <v>134</v>
      </c>
      <c r="F145" s="94"/>
      <c r="T145" s="49"/>
      <c r="U145" s="49"/>
      <c r="V145" s="49"/>
      <c r="W145" s="49"/>
      <c r="X145" s="49"/>
      <c r="Y145" s="49"/>
      <c r="Z145" s="49"/>
      <c r="AA145" s="49"/>
      <c r="AB145" s="49"/>
    </row>
    <row r="146" spans="1:28">
      <c r="A146" s="49"/>
      <c r="T146" s="49"/>
      <c r="U146" s="49"/>
      <c r="V146" s="49"/>
      <c r="W146" s="49"/>
      <c r="X146" s="49"/>
      <c r="Y146" s="49"/>
      <c r="Z146" s="49"/>
      <c r="AA146" s="49"/>
      <c r="AB146" s="49"/>
    </row>
    <row r="147" spans="1:28">
      <c r="T147" s="49"/>
      <c r="U147" s="49"/>
      <c r="V147" s="49"/>
      <c r="W147" s="49"/>
      <c r="X147" s="49"/>
      <c r="Y147" s="49"/>
      <c r="Z147" s="49"/>
      <c r="AA147" s="49"/>
      <c r="AB147" s="49"/>
    </row>
    <row r="148" spans="1:28" s="87" customFormat="1"/>
    <row r="149" spans="1:28">
      <c r="T149" s="49"/>
      <c r="U149" s="49"/>
      <c r="V149" s="49"/>
      <c r="W149" s="49"/>
      <c r="X149" s="49"/>
      <c r="Y149" s="49"/>
      <c r="Z149" s="49"/>
      <c r="AA149" s="49"/>
      <c r="AB149" s="49"/>
    </row>
    <row r="150" spans="1:28">
      <c r="A150" s="43" t="s">
        <v>133</v>
      </c>
      <c r="B150" s="94"/>
      <c r="C150" s="94"/>
      <c r="D150" s="94"/>
      <c r="E150" s="94"/>
      <c r="F150" s="94"/>
      <c r="G150" s="94"/>
      <c r="H150" s="94"/>
      <c r="I150" s="94"/>
      <c r="J150" s="94"/>
      <c r="K150" s="94"/>
      <c r="L150" s="94"/>
      <c r="M150" s="94"/>
      <c r="N150" s="94"/>
      <c r="T150" s="49"/>
      <c r="U150" s="49"/>
      <c r="V150" s="49"/>
      <c r="W150" s="49"/>
      <c r="X150" s="49"/>
      <c r="Y150" s="49"/>
      <c r="Z150" s="49"/>
      <c r="AA150" s="49"/>
      <c r="AB150" s="49"/>
    </row>
    <row r="151" spans="1:28">
      <c r="A151" s="9" t="s">
        <v>132</v>
      </c>
      <c r="B151" s="94"/>
      <c r="C151" s="94"/>
      <c r="D151" s="94"/>
      <c r="E151" s="94"/>
      <c r="F151" s="94"/>
      <c r="G151" s="94"/>
      <c r="H151" s="94"/>
      <c r="I151" s="94"/>
      <c r="J151" s="94"/>
      <c r="K151" s="125" t="s">
        <v>131</v>
      </c>
      <c r="L151" s="94"/>
      <c r="M151" s="94"/>
      <c r="N151" s="94"/>
      <c r="T151" s="49"/>
      <c r="U151" s="49"/>
      <c r="V151" s="49"/>
      <c r="W151" s="49"/>
      <c r="X151" s="49"/>
      <c r="Y151" s="49"/>
      <c r="Z151" s="49"/>
      <c r="AA151" s="49"/>
      <c r="AB151" s="49"/>
    </row>
    <row r="152" spans="1:28">
      <c r="A152" s="94"/>
      <c r="B152" s="94"/>
      <c r="C152" s="94"/>
      <c r="D152" s="94"/>
      <c r="E152" s="94"/>
      <c r="F152" s="94"/>
      <c r="G152" s="94"/>
      <c r="H152" s="94"/>
      <c r="I152" s="94"/>
      <c r="J152" s="94"/>
      <c r="K152" s="94"/>
      <c r="L152" s="94"/>
      <c r="M152" s="94"/>
      <c r="N152" s="94"/>
    </row>
    <row r="153" spans="1:28">
      <c r="A153" s="124" t="s">
        <v>130</v>
      </c>
      <c r="B153" s="94"/>
      <c r="C153" s="94"/>
      <c r="D153" s="94"/>
      <c r="E153" s="94"/>
      <c r="F153" s="94"/>
      <c r="G153" s="94"/>
      <c r="H153" s="94"/>
      <c r="I153" s="94"/>
      <c r="J153" s="94"/>
      <c r="K153" s="94"/>
      <c r="L153" s="94"/>
      <c r="M153" s="94"/>
      <c r="N153" s="94"/>
    </row>
    <row r="154" spans="1:28">
      <c r="A154" s="124"/>
      <c r="B154" s="94"/>
      <c r="C154" s="94"/>
      <c r="D154" s="94"/>
      <c r="E154" s="94"/>
      <c r="F154" s="94"/>
      <c r="G154" s="94"/>
      <c r="H154" s="94"/>
      <c r="I154" s="94"/>
      <c r="J154" s="94"/>
      <c r="K154" s="94"/>
      <c r="L154" s="94"/>
      <c r="M154" s="94"/>
      <c r="N154" s="94"/>
    </row>
    <row r="155" spans="1:28" ht="15.6">
      <c r="A155" s="123" t="s">
        <v>129</v>
      </c>
      <c r="B155" s="94"/>
      <c r="C155" s="94"/>
      <c r="D155" s="94"/>
      <c r="E155" s="94"/>
      <c r="F155" s="94"/>
      <c r="G155" s="94"/>
      <c r="H155" s="94"/>
      <c r="I155" s="94"/>
      <c r="J155" s="94"/>
      <c r="K155" s="94"/>
      <c r="L155" s="94"/>
      <c r="M155" s="94"/>
      <c r="N155" s="94"/>
    </row>
    <row r="156" spans="1:28">
      <c r="A156" s="9"/>
      <c r="B156" s="94"/>
      <c r="C156" s="94"/>
      <c r="D156" s="94"/>
      <c r="E156" s="94"/>
      <c r="F156" s="94"/>
      <c r="G156" s="94"/>
      <c r="H156" s="94"/>
      <c r="I156" s="94"/>
      <c r="J156" s="94"/>
      <c r="K156" s="94"/>
      <c r="L156" s="94"/>
      <c r="M156" s="94"/>
      <c r="N156" s="94"/>
    </row>
    <row r="157" spans="1:28" ht="16.2" thickBot="1">
      <c r="A157" s="113" t="s">
        <v>128</v>
      </c>
      <c r="B157" s="94"/>
      <c r="C157" s="94"/>
      <c r="D157" s="94"/>
      <c r="E157" s="94"/>
      <c r="F157" s="94"/>
      <c r="G157" s="94"/>
      <c r="H157" s="94"/>
      <c r="I157" s="94"/>
      <c r="J157" s="94"/>
      <c r="K157" s="94"/>
      <c r="L157" s="94"/>
      <c r="M157" s="94"/>
      <c r="N157" s="94"/>
    </row>
    <row r="158" spans="1:28" ht="14.4" thickBot="1">
      <c r="A158" s="94"/>
      <c r="B158" s="94"/>
      <c r="C158" s="94"/>
      <c r="D158" s="94"/>
      <c r="E158" s="94"/>
      <c r="F158" s="94"/>
      <c r="G158" s="105" t="s">
        <v>121</v>
      </c>
      <c r="H158" s="94"/>
      <c r="I158" s="94"/>
      <c r="J158" s="112" t="s">
        <v>120</v>
      </c>
      <c r="K158" s="91"/>
      <c r="L158" s="111"/>
      <c r="M158" s="94"/>
      <c r="N158" s="94"/>
    </row>
    <row r="159" spans="1:28">
      <c r="A159" s="105"/>
      <c r="B159" s="105"/>
      <c r="C159" s="105" t="s">
        <v>117</v>
      </c>
      <c r="D159" s="105" t="s">
        <v>119</v>
      </c>
      <c r="E159" s="105" t="s">
        <v>118</v>
      </c>
      <c r="F159" s="105" t="s">
        <v>117</v>
      </c>
      <c r="G159" s="105" t="s">
        <v>116</v>
      </c>
      <c r="H159" s="105" t="s">
        <v>115</v>
      </c>
      <c r="I159" s="105"/>
      <c r="J159" s="105" t="s">
        <v>110</v>
      </c>
      <c r="K159" s="105" t="s">
        <v>114</v>
      </c>
      <c r="L159" s="94"/>
      <c r="M159" s="94"/>
      <c r="N159" s="94"/>
    </row>
    <row r="160" spans="1:28">
      <c r="A160" s="110" t="s">
        <v>113</v>
      </c>
      <c r="B160" s="110" t="s">
        <v>112</v>
      </c>
      <c r="C160" s="110" t="s">
        <v>111</v>
      </c>
      <c r="D160" s="110" t="s">
        <v>111</v>
      </c>
      <c r="E160" s="110" t="s">
        <v>111</v>
      </c>
      <c r="F160" s="110" t="s">
        <v>110</v>
      </c>
      <c r="G160" s="110" t="s">
        <v>110</v>
      </c>
      <c r="H160" s="110" t="s">
        <v>110</v>
      </c>
      <c r="I160" s="110" t="s">
        <v>110</v>
      </c>
      <c r="J160" s="110" t="s">
        <v>109</v>
      </c>
      <c r="K160" s="110" t="s">
        <v>108</v>
      </c>
      <c r="L160" s="110" t="s">
        <v>1</v>
      </c>
      <c r="M160" s="94"/>
      <c r="N160" s="94"/>
    </row>
    <row r="161" spans="1:15">
      <c r="A161" s="105" t="s">
        <v>107</v>
      </c>
      <c r="B161" s="105" t="s">
        <v>106</v>
      </c>
      <c r="C161" s="105"/>
      <c r="D161" s="105"/>
      <c r="E161" s="105"/>
      <c r="F161" s="105" t="s">
        <v>105</v>
      </c>
      <c r="G161" s="105" t="s">
        <v>105</v>
      </c>
      <c r="H161" s="105" t="s">
        <v>105</v>
      </c>
      <c r="I161" s="105" t="s">
        <v>105</v>
      </c>
      <c r="J161" s="105" t="s">
        <v>104</v>
      </c>
      <c r="K161" s="105" t="s">
        <v>104</v>
      </c>
      <c r="L161" s="105" t="s">
        <v>104</v>
      </c>
      <c r="M161" s="94"/>
      <c r="N161" s="94"/>
    </row>
    <row r="162" spans="1:15">
      <c r="A162" s="94"/>
      <c r="B162" s="94"/>
      <c r="C162" s="94"/>
      <c r="D162" s="94"/>
      <c r="E162" s="94"/>
      <c r="F162" s="94"/>
      <c r="G162" s="94"/>
      <c r="H162" s="94"/>
      <c r="I162" s="94"/>
      <c r="J162" s="94"/>
      <c r="K162" s="94"/>
      <c r="L162" s="94"/>
      <c r="M162" s="94"/>
      <c r="N162" s="94"/>
    </row>
    <row r="163" spans="1:15">
      <c r="A163" s="94">
        <f>B57</f>
        <v>50</v>
      </c>
      <c r="B163" s="94">
        <f>C57</f>
        <v>50</v>
      </c>
      <c r="C163" s="94">
        <v>1</v>
      </c>
      <c r="D163" s="94">
        <f>'SNB-2015 '!I57</f>
        <v>2</v>
      </c>
      <c r="E163" s="109">
        <f>'SNB-2015 '!J57</f>
        <v>0</v>
      </c>
      <c r="F163" s="108" t="e">
        <f t="shared" ref="F163:F180" si="2">(C163*$D$142)+(D163*$D$143)</f>
        <v>#REF!</v>
      </c>
      <c r="G163" s="108" t="e">
        <f t="shared" ref="G163:G180" si="3">$D$144*A163*1000</f>
        <v>#REF!</v>
      </c>
      <c r="H163" s="108" t="e">
        <f t="shared" ref="H163:H180" si="4">E163*$D$141</f>
        <v>#REF!</v>
      </c>
      <c r="I163" s="107" t="e">
        <f t="shared" ref="I163:I180" si="5">F163+G163+H163</f>
        <v>#REF!</v>
      </c>
      <c r="J163" s="106" t="e">
        <f t="shared" ref="J163:J180" si="6">I163/A163/365/1000</f>
        <v>#REF!</v>
      </c>
      <c r="K163" s="106" t="e">
        <f t="shared" ref="K163:K180" si="7">$D$45</f>
        <v>#REF!</v>
      </c>
      <c r="L163" s="106" t="e">
        <f t="shared" ref="L163:L180" si="8">K163+J163</f>
        <v>#REF!</v>
      </c>
      <c r="M163" s="94"/>
      <c r="N163" s="94"/>
    </row>
    <row r="164" spans="1:15">
      <c r="A164" s="94">
        <f>A163</f>
        <v>50</v>
      </c>
      <c r="B164" s="94">
        <f t="shared" ref="B164:B180" si="9">C58</f>
        <v>100</v>
      </c>
      <c r="C164" s="94">
        <v>1</v>
      </c>
      <c r="D164" s="94">
        <f>'SNB-2015 '!I58</f>
        <v>7</v>
      </c>
      <c r="E164" s="109">
        <f>'SNB-2015 '!J58</f>
        <v>0.76800000000000002</v>
      </c>
      <c r="F164" s="108" t="e">
        <f t="shared" si="2"/>
        <v>#REF!</v>
      </c>
      <c r="G164" s="108" t="e">
        <f t="shared" si="3"/>
        <v>#REF!</v>
      </c>
      <c r="H164" s="108" t="e">
        <f>E164*$D$141</f>
        <v>#REF!</v>
      </c>
      <c r="I164" s="107" t="e">
        <f t="shared" si="5"/>
        <v>#REF!</v>
      </c>
      <c r="J164" s="106" t="e">
        <f t="shared" si="6"/>
        <v>#REF!</v>
      </c>
      <c r="K164" s="106" t="e">
        <f t="shared" si="7"/>
        <v>#REF!</v>
      </c>
      <c r="L164" s="106" t="e">
        <f t="shared" si="8"/>
        <v>#REF!</v>
      </c>
      <c r="M164" s="94"/>
      <c r="N164" s="122"/>
      <c r="O164" s="121"/>
    </row>
    <row r="165" spans="1:15">
      <c r="A165" s="94">
        <f>A164</f>
        <v>50</v>
      </c>
      <c r="B165" s="94">
        <f t="shared" si="9"/>
        <v>150</v>
      </c>
      <c r="C165" s="94">
        <v>1</v>
      </c>
      <c r="D165" s="94">
        <f>'SNB-2015 '!I59</f>
        <v>7</v>
      </c>
      <c r="E165" s="109">
        <f>'SNB-2015 '!J59</f>
        <v>2.4320000000000004</v>
      </c>
      <c r="F165" s="108" t="e">
        <f t="shared" si="2"/>
        <v>#REF!</v>
      </c>
      <c r="G165" s="108" t="e">
        <f t="shared" si="3"/>
        <v>#REF!</v>
      </c>
      <c r="H165" s="108" t="e">
        <f t="shared" si="4"/>
        <v>#REF!</v>
      </c>
      <c r="I165" s="107" t="e">
        <f t="shared" si="5"/>
        <v>#REF!</v>
      </c>
      <c r="J165" s="106" t="e">
        <f t="shared" si="6"/>
        <v>#REF!</v>
      </c>
      <c r="K165" s="106" t="e">
        <f t="shared" si="7"/>
        <v>#REF!</v>
      </c>
      <c r="L165" s="106" t="e">
        <f t="shared" si="8"/>
        <v>#REF!</v>
      </c>
      <c r="M165" s="94"/>
      <c r="N165" s="122"/>
      <c r="O165" s="121"/>
    </row>
    <row r="166" spans="1:15">
      <c r="A166" s="94">
        <f>A165</f>
        <v>50</v>
      </c>
      <c r="B166" s="94">
        <f t="shared" si="9"/>
        <v>200</v>
      </c>
      <c r="C166" s="94">
        <v>1</v>
      </c>
      <c r="D166" s="94">
        <f>'SNB-2015 '!I60</f>
        <v>7</v>
      </c>
      <c r="E166" s="109">
        <f>'SNB-2015 '!J60</f>
        <v>4.4799999999999995</v>
      </c>
      <c r="F166" s="108" t="e">
        <f t="shared" si="2"/>
        <v>#REF!</v>
      </c>
      <c r="G166" s="108" t="e">
        <f t="shared" si="3"/>
        <v>#REF!</v>
      </c>
      <c r="H166" s="108" t="e">
        <f t="shared" si="4"/>
        <v>#REF!</v>
      </c>
      <c r="I166" s="107" t="e">
        <f t="shared" si="5"/>
        <v>#REF!</v>
      </c>
      <c r="J166" s="106" t="e">
        <f t="shared" si="6"/>
        <v>#REF!</v>
      </c>
      <c r="K166" s="106" t="e">
        <f t="shared" si="7"/>
        <v>#REF!</v>
      </c>
      <c r="L166" s="106" t="e">
        <f t="shared" si="8"/>
        <v>#REF!</v>
      </c>
      <c r="M166" s="94"/>
      <c r="N166" s="122"/>
      <c r="O166" s="121"/>
    </row>
    <row r="167" spans="1:15">
      <c r="A167" s="94">
        <f>A166</f>
        <v>50</v>
      </c>
      <c r="B167" s="94">
        <f t="shared" si="9"/>
        <v>250</v>
      </c>
      <c r="C167" s="94">
        <v>1</v>
      </c>
      <c r="D167" s="94">
        <f>'SNB-2015 '!I61</f>
        <v>7</v>
      </c>
      <c r="E167" s="109">
        <f>'SNB-2015 '!J61</f>
        <v>7.8079999999999998</v>
      </c>
      <c r="F167" s="108" t="e">
        <f t="shared" si="2"/>
        <v>#REF!</v>
      </c>
      <c r="G167" s="108" t="e">
        <f t="shared" si="3"/>
        <v>#REF!</v>
      </c>
      <c r="H167" s="108" t="e">
        <f t="shared" si="4"/>
        <v>#REF!</v>
      </c>
      <c r="I167" s="107" t="e">
        <f t="shared" si="5"/>
        <v>#REF!</v>
      </c>
      <c r="J167" s="106" t="e">
        <f t="shared" si="6"/>
        <v>#REF!</v>
      </c>
      <c r="K167" s="106" t="e">
        <f t="shared" si="7"/>
        <v>#REF!</v>
      </c>
      <c r="L167" s="106" t="e">
        <f t="shared" si="8"/>
        <v>#REF!</v>
      </c>
      <c r="M167" s="94"/>
      <c r="N167" s="122"/>
      <c r="O167" s="121"/>
    </row>
    <row r="168" spans="1:15">
      <c r="A168" s="94">
        <f>A167</f>
        <v>50</v>
      </c>
      <c r="B168" s="94">
        <f t="shared" si="9"/>
        <v>300</v>
      </c>
      <c r="C168" s="94">
        <v>1</v>
      </c>
      <c r="D168" s="94">
        <f>'SNB-2015 '!I62</f>
        <v>7</v>
      </c>
      <c r="E168" s="109">
        <f>'SNB-2015 '!J62</f>
        <v>12.938000000000001</v>
      </c>
      <c r="F168" s="108" t="e">
        <f t="shared" si="2"/>
        <v>#REF!</v>
      </c>
      <c r="G168" s="108" t="e">
        <f t="shared" si="3"/>
        <v>#REF!</v>
      </c>
      <c r="H168" s="108" t="e">
        <f t="shared" si="4"/>
        <v>#REF!</v>
      </c>
      <c r="I168" s="107" t="e">
        <f t="shared" si="5"/>
        <v>#REF!</v>
      </c>
      <c r="J168" s="106" t="e">
        <f t="shared" si="6"/>
        <v>#REF!</v>
      </c>
      <c r="K168" s="106" t="e">
        <f t="shared" si="7"/>
        <v>#REF!</v>
      </c>
      <c r="L168" s="106" t="e">
        <f t="shared" si="8"/>
        <v>#REF!</v>
      </c>
      <c r="M168" s="94"/>
      <c r="N168" s="122"/>
      <c r="O168" s="121"/>
    </row>
    <row r="169" spans="1:15">
      <c r="A169" s="94">
        <f>B63</f>
        <v>100</v>
      </c>
      <c r="B169" s="94">
        <f t="shared" si="9"/>
        <v>100</v>
      </c>
      <c r="C169" s="94">
        <v>1</v>
      </c>
      <c r="D169" s="94">
        <f>'SNB-2015 '!I63</f>
        <v>7</v>
      </c>
      <c r="E169" s="109">
        <f>'SNB-2015 '!J63</f>
        <v>0.76800000000000002</v>
      </c>
      <c r="F169" s="108" t="e">
        <f t="shared" si="2"/>
        <v>#REF!</v>
      </c>
      <c r="G169" s="108" t="e">
        <f t="shared" si="3"/>
        <v>#REF!</v>
      </c>
      <c r="H169" s="108" t="e">
        <f t="shared" si="4"/>
        <v>#REF!</v>
      </c>
      <c r="I169" s="107" t="e">
        <f t="shared" si="5"/>
        <v>#REF!</v>
      </c>
      <c r="J169" s="106" t="e">
        <f t="shared" si="6"/>
        <v>#REF!</v>
      </c>
      <c r="K169" s="106" t="e">
        <f t="shared" si="7"/>
        <v>#REF!</v>
      </c>
      <c r="L169" s="106" t="e">
        <f t="shared" si="8"/>
        <v>#REF!</v>
      </c>
      <c r="M169" s="94"/>
      <c r="N169" s="122"/>
      <c r="O169" s="121"/>
    </row>
    <row r="170" spans="1:15">
      <c r="A170" s="94">
        <f>A169</f>
        <v>100</v>
      </c>
      <c r="B170" s="94">
        <f t="shared" si="9"/>
        <v>150</v>
      </c>
      <c r="C170" s="94">
        <v>1</v>
      </c>
      <c r="D170" s="94">
        <f>'SNB-2015 '!I64</f>
        <v>7</v>
      </c>
      <c r="E170" s="109">
        <f>'SNB-2015 '!J64</f>
        <v>2.5600000000000005</v>
      </c>
      <c r="F170" s="108" t="e">
        <f t="shared" si="2"/>
        <v>#REF!</v>
      </c>
      <c r="G170" s="108" t="e">
        <f t="shared" si="3"/>
        <v>#REF!</v>
      </c>
      <c r="H170" s="108" t="e">
        <f t="shared" si="4"/>
        <v>#REF!</v>
      </c>
      <c r="I170" s="107" t="e">
        <f t="shared" si="5"/>
        <v>#REF!</v>
      </c>
      <c r="J170" s="106" t="e">
        <f t="shared" si="6"/>
        <v>#REF!</v>
      </c>
      <c r="K170" s="106" t="e">
        <f t="shared" si="7"/>
        <v>#REF!</v>
      </c>
      <c r="L170" s="106" t="e">
        <f t="shared" si="8"/>
        <v>#REF!</v>
      </c>
      <c r="M170" s="94"/>
      <c r="N170" s="122"/>
      <c r="O170" s="121"/>
    </row>
    <row r="171" spans="1:15">
      <c r="A171" s="94">
        <f>A170</f>
        <v>100</v>
      </c>
      <c r="B171" s="94">
        <f t="shared" si="9"/>
        <v>200</v>
      </c>
      <c r="C171" s="94">
        <v>1</v>
      </c>
      <c r="D171" s="94">
        <f>'SNB-2015 '!I65</f>
        <v>7</v>
      </c>
      <c r="E171" s="109">
        <f>'SNB-2015 '!J65</f>
        <v>5.120000000000001</v>
      </c>
      <c r="F171" s="108" t="e">
        <f t="shared" si="2"/>
        <v>#REF!</v>
      </c>
      <c r="G171" s="108" t="e">
        <f t="shared" si="3"/>
        <v>#REF!</v>
      </c>
      <c r="H171" s="108" t="e">
        <f t="shared" si="4"/>
        <v>#REF!</v>
      </c>
      <c r="I171" s="107" t="e">
        <f t="shared" si="5"/>
        <v>#REF!</v>
      </c>
      <c r="J171" s="106" t="e">
        <f t="shared" si="6"/>
        <v>#REF!</v>
      </c>
      <c r="K171" s="106" t="e">
        <f t="shared" si="7"/>
        <v>#REF!</v>
      </c>
      <c r="L171" s="106" t="e">
        <f t="shared" si="8"/>
        <v>#REF!</v>
      </c>
      <c r="M171" s="94"/>
      <c r="N171" s="122"/>
      <c r="O171" s="121"/>
    </row>
    <row r="172" spans="1:15">
      <c r="A172" s="94">
        <f>A171</f>
        <v>100</v>
      </c>
      <c r="B172" s="94">
        <f t="shared" si="9"/>
        <v>250</v>
      </c>
      <c r="C172" s="94">
        <v>1</v>
      </c>
      <c r="D172" s="94">
        <f>'SNB-2015 '!I66</f>
        <v>7</v>
      </c>
      <c r="E172" s="109">
        <f>'SNB-2015 '!J66</f>
        <v>9.9840000000000018</v>
      </c>
      <c r="F172" s="108" t="e">
        <f t="shared" si="2"/>
        <v>#REF!</v>
      </c>
      <c r="G172" s="108" t="e">
        <f t="shared" si="3"/>
        <v>#REF!</v>
      </c>
      <c r="H172" s="108" t="e">
        <f t="shared" si="4"/>
        <v>#REF!</v>
      </c>
      <c r="I172" s="107" t="e">
        <f t="shared" si="5"/>
        <v>#REF!</v>
      </c>
      <c r="J172" s="106" t="e">
        <f t="shared" si="6"/>
        <v>#REF!</v>
      </c>
      <c r="K172" s="106" t="e">
        <f t="shared" si="7"/>
        <v>#REF!</v>
      </c>
      <c r="L172" s="106" t="e">
        <f t="shared" si="8"/>
        <v>#REF!</v>
      </c>
      <c r="M172" s="94"/>
      <c r="N172" s="122"/>
      <c r="O172" s="121"/>
    </row>
    <row r="173" spans="1:15">
      <c r="A173" s="94">
        <f>A172</f>
        <v>100</v>
      </c>
      <c r="B173" s="94">
        <f t="shared" si="9"/>
        <v>300</v>
      </c>
      <c r="C173" s="94">
        <v>1</v>
      </c>
      <c r="D173" s="94">
        <f>'SNB-2015 '!I67</f>
        <v>7</v>
      </c>
      <c r="E173" s="109">
        <f>'SNB-2015 '!J67</f>
        <v>13.49</v>
      </c>
      <c r="F173" s="108" t="e">
        <f t="shared" si="2"/>
        <v>#REF!</v>
      </c>
      <c r="G173" s="108" t="e">
        <f t="shared" si="3"/>
        <v>#REF!</v>
      </c>
      <c r="H173" s="108" t="e">
        <f t="shared" si="4"/>
        <v>#REF!</v>
      </c>
      <c r="I173" s="107" t="e">
        <f t="shared" si="5"/>
        <v>#REF!</v>
      </c>
      <c r="J173" s="106" t="e">
        <f t="shared" si="6"/>
        <v>#REF!</v>
      </c>
      <c r="K173" s="106" t="e">
        <f t="shared" si="7"/>
        <v>#REF!</v>
      </c>
      <c r="L173" s="106" t="e">
        <f t="shared" si="8"/>
        <v>#REF!</v>
      </c>
      <c r="M173" s="94"/>
      <c r="N173" s="122"/>
      <c r="O173" s="121"/>
    </row>
    <row r="174" spans="1:15">
      <c r="A174" s="94">
        <f>B68</f>
        <v>150</v>
      </c>
      <c r="B174" s="94">
        <f t="shared" si="9"/>
        <v>150</v>
      </c>
      <c r="C174" s="94">
        <v>1</v>
      </c>
      <c r="D174" s="94">
        <f>'SNB-2015 '!I68</f>
        <v>7</v>
      </c>
      <c r="E174" s="109">
        <f>'SNB-2015 '!J68</f>
        <v>2.5600000000000005</v>
      </c>
      <c r="F174" s="108" t="e">
        <f t="shared" si="2"/>
        <v>#REF!</v>
      </c>
      <c r="G174" s="108" t="e">
        <f t="shared" si="3"/>
        <v>#REF!</v>
      </c>
      <c r="H174" s="108" t="e">
        <f t="shared" si="4"/>
        <v>#REF!</v>
      </c>
      <c r="I174" s="107" t="e">
        <f t="shared" si="5"/>
        <v>#REF!</v>
      </c>
      <c r="J174" s="106" t="e">
        <f t="shared" si="6"/>
        <v>#REF!</v>
      </c>
      <c r="K174" s="106" t="e">
        <f t="shared" si="7"/>
        <v>#REF!</v>
      </c>
      <c r="L174" s="106" t="e">
        <f t="shared" si="8"/>
        <v>#REF!</v>
      </c>
      <c r="M174" s="94"/>
      <c r="N174" s="122"/>
      <c r="O174" s="121"/>
    </row>
    <row r="175" spans="1:15">
      <c r="A175" s="94">
        <f>A174</f>
        <v>150</v>
      </c>
      <c r="B175" s="94">
        <f t="shared" si="9"/>
        <v>200</v>
      </c>
      <c r="C175" s="94">
        <v>1</v>
      </c>
      <c r="D175" s="94">
        <f>'SNB-2015 '!I69</f>
        <v>7</v>
      </c>
      <c r="E175" s="109">
        <f>'SNB-2015 '!J69</f>
        <v>5.120000000000001</v>
      </c>
      <c r="F175" s="108" t="e">
        <f t="shared" si="2"/>
        <v>#REF!</v>
      </c>
      <c r="G175" s="108" t="e">
        <f t="shared" si="3"/>
        <v>#REF!</v>
      </c>
      <c r="H175" s="108" t="e">
        <f t="shared" si="4"/>
        <v>#REF!</v>
      </c>
      <c r="I175" s="107" t="e">
        <f t="shared" si="5"/>
        <v>#REF!</v>
      </c>
      <c r="J175" s="106" t="e">
        <f t="shared" si="6"/>
        <v>#REF!</v>
      </c>
      <c r="K175" s="106" t="e">
        <f t="shared" si="7"/>
        <v>#REF!</v>
      </c>
      <c r="L175" s="106" t="e">
        <f t="shared" si="8"/>
        <v>#REF!</v>
      </c>
      <c r="M175" s="94"/>
      <c r="N175" s="122"/>
      <c r="O175" s="121"/>
    </row>
    <row r="176" spans="1:15">
      <c r="A176" s="94">
        <f>A175</f>
        <v>150</v>
      </c>
      <c r="B176" s="94">
        <f t="shared" si="9"/>
        <v>250</v>
      </c>
      <c r="C176" s="94">
        <v>1</v>
      </c>
      <c r="D176" s="94">
        <f>'SNB-2015 '!I70</f>
        <v>7</v>
      </c>
      <c r="E176" s="109">
        <f>'SNB-2015 '!J70</f>
        <v>10.496</v>
      </c>
      <c r="F176" s="108" t="e">
        <f t="shared" si="2"/>
        <v>#REF!</v>
      </c>
      <c r="G176" s="108" t="e">
        <f t="shared" si="3"/>
        <v>#REF!</v>
      </c>
      <c r="H176" s="108" t="e">
        <f t="shared" si="4"/>
        <v>#REF!</v>
      </c>
      <c r="I176" s="107" t="e">
        <f t="shared" si="5"/>
        <v>#REF!</v>
      </c>
      <c r="J176" s="106" t="e">
        <f t="shared" si="6"/>
        <v>#REF!</v>
      </c>
      <c r="K176" s="106" t="e">
        <f t="shared" si="7"/>
        <v>#REF!</v>
      </c>
      <c r="L176" s="106" t="e">
        <f t="shared" si="8"/>
        <v>#REF!</v>
      </c>
      <c r="M176" s="94"/>
      <c r="N176" s="122"/>
      <c r="O176" s="121"/>
    </row>
    <row r="177" spans="1:15">
      <c r="A177" s="94">
        <f>A176</f>
        <v>150</v>
      </c>
      <c r="B177" s="94">
        <f t="shared" si="9"/>
        <v>300</v>
      </c>
      <c r="C177" s="94">
        <v>1</v>
      </c>
      <c r="D177" s="94">
        <f>'SNB-2015 '!I71</f>
        <v>7</v>
      </c>
      <c r="E177" s="109">
        <f>'SNB-2015 '!J71</f>
        <v>13.628</v>
      </c>
      <c r="F177" s="108" t="e">
        <f t="shared" si="2"/>
        <v>#REF!</v>
      </c>
      <c r="G177" s="108" t="e">
        <f t="shared" si="3"/>
        <v>#REF!</v>
      </c>
      <c r="H177" s="108" t="e">
        <f t="shared" si="4"/>
        <v>#REF!</v>
      </c>
      <c r="I177" s="107" t="e">
        <f t="shared" si="5"/>
        <v>#REF!</v>
      </c>
      <c r="J177" s="106" t="e">
        <f t="shared" si="6"/>
        <v>#REF!</v>
      </c>
      <c r="K177" s="106" t="e">
        <f t="shared" si="7"/>
        <v>#REF!</v>
      </c>
      <c r="L177" s="106" t="e">
        <f t="shared" si="8"/>
        <v>#REF!</v>
      </c>
      <c r="M177" s="94"/>
      <c r="N177" s="122"/>
      <c r="O177" s="121"/>
    </row>
    <row r="178" spans="1:15">
      <c r="A178" s="94">
        <f>B72</f>
        <v>200</v>
      </c>
      <c r="B178" s="94">
        <f t="shared" si="9"/>
        <v>200</v>
      </c>
      <c r="C178" s="94">
        <v>1</v>
      </c>
      <c r="D178" s="94">
        <f>'SNB-2015 '!I72</f>
        <v>7</v>
      </c>
      <c r="E178" s="109">
        <f>'SNB-2015 '!J72</f>
        <v>5.120000000000001</v>
      </c>
      <c r="F178" s="108" t="e">
        <f t="shared" si="2"/>
        <v>#REF!</v>
      </c>
      <c r="G178" s="108" t="e">
        <f t="shared" si="3"/>
        <v>#REF!</v>
      </c>
      <c r="H178" s="108" t="e">
        <f t="shared" si="4"/>
        <v>#REF!</v>
      </c>
      <c r="I178" s="107" t="e">
        <f t="shared" si="5"/>
        <v>#REF!</v>
      </c>
      <c r="J178" s="106" t="e">
        <f t="shared" si="6"/>
        <v>#REF!</v>
      </c>
      <c r="K178" s="106" t="e">
        <f t="shared" si="7"/>
        <v>#REF!</v>
      </c>
      <c r="L178" s="106" t="e">
        <f t="shared" si="8"/>
        <v>#REF!</v>
      </c>
      <c r="M178" s="94"/>
      <c r="N178" s="122"/>
      <c r="O178" s="121"/>
    </row>
    <row r="179" spans="1:15">
      <c r="A179" s="94">
        <f>A178</f>
        <v>200</v>
      </c>
      <c r="B179" s="94">
        <f t="shared" si="9"/>
        <v>250</v>
      </c>
      <c r="C179" s="94">
        <v>1</v>
      </c>
      <c r="D179" s="94">
        <f>'SNB-2015 '!I73</f>
        <v>7</v>
      </c>
      <c r="E179" s="109">
        <f>'SNB-2015 '!J73</f>
        <v>10.496</v>
      </c>
      <c r="F179" s="108" t="e">
        <f t="shared" si="2"/>
        <v>#REF!</v>
      </c>
      <c r="G179" s="108" t="e">
        <f t="shared" si="3"/>
        <v>#REF!</v>
      </c>
      <c r="H179" s="108" t="e">
        <f t="shared" si="4"/>
        <v>#REF!</v>
      </c>
      <c r="I179" s="107" t="e">
        <f t="shared" si="5"/>
        <v>#REF!</v>
      </c>
      <c r="J179" s="106" t="e">
        <f t="shared" si="6"/>
        <v>#REF!</v>
      </c>
      <c r="K179" s="106" t="e">
        <f t="shared" si="7"/>
        <v>#REF!</v>
      </c>
      <c r="L179" s="106" t="e">
        <f t="shared" si="8"/>
        <v>#REF!</v>
      </c>
      <c r="M179" s="94"/>
      <c r="N179" s="122"/>
      <c r="O179" s="121"/>
    </row>
    <row r="180" spans="1:15">
      <c r="A180" s="94">
        <f>A179</f>
        <v>200</v>
      </c>
      <c r="B180" s="94">
        <f t="shared" si="9"/>
        <v>300</v>
      </c>
      <c r="C180" s="94">
        <v>1</v>
      </c>
      <c r="D180" s="94">
        <f>'SNB-2015 '!I74</f>
        <v>7</v>
      </c>
      <c r="E180" s="109">
        <f>'SNB-2015 '!J74</f>
        <v>13.766000000000002</v>
      </c>
      <c r="F180" s="108" t="e">
        <f t="shared" si="2"/>
        <v>#REF!</v>
      </c>
      <c r="G180" s="108" t="e">
        <f t="shared" si="3"/>
        <v>#REF!</v>
      </c>
      <c r="H180" s="108" t="e">
        <f t="shared" si="4"/>
        <v>#REF!</v>
      </c>
      <c r="I180" s="107" t="e">
        <f t="shared" si="5"/>
        <v>#REF!</v>
      </c>
      <c r="J180" s="106" t="e">
        <f t="shared" si="6"/>
        <v>#REF!</v>
      </c>
      <c r="K180" s="106" t="e">
        <f t="shared" si="7"/>
        <v>#REF!</v>
      </c>
      <c r="L180" s="106" t="e">
        <f t="shared" si="8"/>
        <v>#REF!</v>
      </c>
      <c r="M180" s="94"/>
      <c r="N180" s="122"/>
      <c r="O180" s="121"/>
    </row>
    <row r="181" spans="1:15">
      <c r="A181" s="120"/>
      <c r="B181" s="120"/>
      <c r="C181" s="120"/>
      <c r="D181" s="120"/>
      <c r="E181" s="119"/>
      <c r="F181" s="118"/>
      <c r="G181" s="117"/>
      <c r="H181" s="117"/>
      <c r="I181" s="116"/>
      <c r="J181" s="115"/>
      <c r="K181" s="115"/>
      <c r="L181" s="115"/>
      <c r="M181" s="94"/>
      <c r="N181" s="94"/>
    </row>
    <row r="182" spans="1:15">
      <c r="A182" s="120"/>
      <c r="B182" s="120"/>
      <c r="C182" s="120"/>
      <c r="D182" s="120"/>
      <c r="E182" s="119"/>
      <c r="F182" s="118"/>
      <c r="G182" s="117"/>
      <c r="H182" s="117"/>
      <c r="I182" s="116"/>
      <c r="J182" s="115"/>
      <c r="K182" s="115"/>
      <c r="L182" s="115"/>
      <c r="M182" s="94"/>
      <c r="N182" s="94"/>
    </row>
    <row r="183" spans="1:15">
      <c r="A183" s="120"/>
      <c r="B183" s="120"/>
      <c r="C183" s="120"/>
      <c r="D183" s="120"/>
      <c r="E183" s="119"/>
      <c r="F183" s="118"/>
      <c r="G183" s="117"/>
      <c r="H183" s="117"/>
      <c r="I183" s="116"/>
      <c r="J183" s="115"/>
      <c r="K183" s="115"/>
      <c r="L183" s="115"/>
      <c r="M183" s="94"/>
      <c r="N183" s="94"/>
    </row>
    <row r="184" spans="1:15">
      <c r="A184" s="94"/>
      <c r="B184" s="94"/>
      <c r="C184" s="94"/>
      <c r="D184" s="94"/>
      <c r="E184" s="94"/>
      <c r="F184" s="94"/>
      <c r="G184" s="94"/>
      <c r="H184" s="94"/>
      <c r="I184" s="94"/>
      <c r="J184" s="94"/>
      <c r="K184" s="94"/>
      <c r="L184" s="94"/>
      <c r="M184" s="94"/>
      <c r="N184" s="94"/>
    </row>
    <row r="185" spans="1:15">
      <c r="A185" s="94"/>
      <c r="B185" s="94"/>
      <c r="C185" s="94"/>
      <c r="D185" s="94"/>
      <c r="E185" s="94"/>
      <c r="F185" s="94"/>
      <c r="G185" s="94"/>
      <c r="H185" s="94"/>
      <c r="I185" s="94"/>
      <c r="J185" s="104" t="s">
        <v>127</v>
      </c>
      <c r="K185" s="94"/>
      <c r="L185" s="103" t="e">
        <f>AVERAGE(L163:L180)</f>
        <v>#REF!</v>
      </c>
      <c r="M185" s="102" t="s">
        <v>126</v>
      </c>
      <c r="N185" s="114"/>
    </row>
    <row r="186" spans="1:15">
      <c r="A186" s="94"/>
      <c r="B186" s="94"/>
      <c r="C186" s="94"/>
      <c r="D186" s="94"/>
      <c r="E186" s="94"/>
      <c r="F186" s="94"/>
      <c r="G186" s="94"/>
      <c r="H186" s="94"/>
      <c r="I186" s="94"/>
      <c r="J186" s="94"/>
      <c r="K186" s="94"/>
      <c r="L186" s="94"/>
      <c r="M186" s="94"/>
      <c r="N186" s="94"/>
    </row>
    <row r="187" spans="1:15" ht="16.2" thickBot="1">
      <c r="A187" s="113" t="s">
        <v>125</v>
      </c>
      <c r="B187" s="94"/>
      <c r="C187" s="94"/>
      <c r="D187" s="94"/>
      <c r="E187" s="94"/>
      <c r="F187" s="94"/>
      <c r="G187" s="94"/>
      <c r="H187" s="94"/>
      <c r="I187" s="94"/>
      <c r="J187" s="94"/>
      <c r="K187" s="94"/>
      <c r="L187" s="94"/>
      <c r="M187" s="94"/>
      <c r="N187" s="94"/>
    </row>
    <row r="188" spans="1:15" ht="14.4" thickBot="1">
      <c r="A188" s="94"/>
      <c r="B188" s="94"/>
      <c r="C188" s="94"/>
      <c r="D188" s="94"/>
      <c r="E188" s="94"/>
      <c r="F188" s="94"/>
      <c r="G188" s="105" t="s">
        <v>121</v>
      </c>
      <c r="H188" s="94"/>
      <c r="I188" s="94"/>
      <c r="J188" s="112" t="s">
        <v>120</v>
      </c>
      <c r="K188" s="91"/>
      <c r="L188" s="111"/>
      <c r="M188" s="94"/>
      <c r="N188" s="94"/>
    </row>
    <row r="189" spans="1:15">
      <c r="A189" s="105"/>
      <c r="B189" s="105"/>
      <c r="C189" s="105" t="s">
        <v>117</v>
      </c>
      <c r="D189" s="105" t="s">
        <v>119</v>
      </c>
      <c r="E189" s="105" t="s">
        <v>118</v>
      </c>
      <c r="F189" s="105" t="s">
        <v>117</v>
      </c>
      <c r="G189" s="105" t="s">
        <v>116</v>
      </c>
      <c r="H189" s="105" t="s">
        <v>115</v>
      </c>
      <c r="I189" s="105"/>
      <c r="J189" s="105" t="s">
        <v>110</v>
      </c>
      <c r="K189" s="105" t="s">
        <v>114</v>
      </c>
      <c r="L189" s="94"/>
      <c r="M189" s="94"/>
      <c r="N189" s="94"/>
    </row>
    <row r="190" spans="1:15">
      <c r="A190" s="110" t="s">
        <v>113</v>
      </c>
      <c r="B190" s="110" t="s">
        <v>112</v>
      </c>
      <c r="C190" s="110" t="s">
        <v>111</v>
      </c>
      <c r="D190" s="110" t="s">
        <v>111</v>
      </c>
      <c r="E190" s="110" t="s">
        <v>111</v>
      </c>
      <c r="F190" s="110" t="s">
        <v>110</v>
      </c>
      <c r="G190" s="110" t="s">
        <v>110</v>
      </c>
      <c r="H190" s="110" t="s">
        <v>110</v>
      </c>
      <c r="I190" s="110" t="s">
        <v>110</v>
      </c>
      <c r="J190" s="110" t="s">
        <v>109</v>
      </c>
      <c r="K190" s="110" t="s">
        <v>108</v>
      </c>
      <c r="L190" s="110" t="s">
        <v>1</v>
      </c>
      <c r="M190" s="94"/>
      <c r="N190" s="94"/>
    </row>
    <row r="191" spans="1:15">
      <c r="A191" s="105" t="s">
        <v>107</v>
      </c>
      <c r="B191" s="105" t="s">
        <v>106</v>
      </c>
      <c r="C191" s="105"/>
      <c r="D191" s="105"/>
      <c r="E191" s="105"/>
      <c r="F191" s="105" t="s">
        <v>105</v>
      </c>
      <c r="G191" s="105" t="s">
        <v>105</v>
      </c>
      <c r="H191" s="105" t="s">
        <v>105</v>
      </c>
      <c r="I191" s="105" t="s">
        <v>105</v>
      </c>
      <c r="J191" s="105" t="s">
        <v>104</v>
      </c>
      <c r="K191" s="105" t="s">
        <v>104</v>
      </c>
      <c r="L191" s="105" t="s">
        <v>104</v>
      </c>
      <c r="M191" s="94"/>
      <c r="N191" s="94"/>
    </row>
    <row r="192" spans="1:15">
      <c r="A192" s="94"/>
      <c r="B192" s="94"/>
      <c r="C192" s="94"/>
      <c r="D192" s="94"/>
      <c r="E192" s="94"/>
      <c r="F192" s="94"/>
      <c r="G192" s="94"/>
      <c r="H192" s="94"/>
      <c r="I192" s="94"/>
      <c r="J192" s="94"/>
      <c r="K192" s="94"/>
      <c r="L192" s="94"/>
      <c r="M192" s="94"/>
      <c r="N192" s="94"/>
    </row>
    <row r="193" spans="1:14">
      <c r="A193" s="94">
        <v>50</v>
      </c>
      <c r="B193" s="94">
        <v>50</v>
      </c>
      <c r="C193" s="107">
        <f>0</f>
        <v>0</v>
      </c>
      <c r="D193" s="107">
        <f>'SNB-2015 '!I87</f>
        <v>0</v>
      </c>
      <c r="E193" s="109">
        <f>'SNB-2015 '!F83</f>
        <v>45.400000000000006</v>
      </c>
      <c r="F193" s="108" t="e">
        <f>(C193*$D$142)+(D193*$D$143)</f>
        <v>#REF!</v>
      </c>
      <c r="G193" s="108" t="e">
        <f>$D$144*A193*1000</f>
        <v>#REF!</v>
      </c>
      <c r="H193" s="108" t="e">
        <f>E193*$D$141</f>
        <v>#REF!</v>
      </c>
      <c r="I193" s="107" t="e">
        <f>F193+G193+H193</f>
        <v>#REF!</v>
      </c>
      <c r="J193" s="106" t="e">
        <f>I193/A193/365/1000</f>
        <v>#REF!</v>
      </c>
      <c r="K193" s="106" t="e">
        <f>$D$45</f>
        <v>#REF!</v>
      </c>
      <c r="L193" s="106" t="e">
        <f>K193+J193</f>
        <v>#REF!</v>
      </c>
      <c r="M193" s="94"/>
      <c r="N193" s="94"/>
    </row>
    <row r="194" spans="1:14">
      <c r="A194" s="94">
        <v>100</v>
      </c>
      <c r="B194" s="94">
        <v>100</v>
      </c>
      <c r="C194" s="107">
        <f>0</f>
        <v>0</v>
      </c>
      <c r="D194" s="107">
        <f>'SNB-2015 '!I88</f>
        <v>0</v>
      </c>
      <c r="E194" s="109">
        <f>'SNB-2015 '!F88</f>
        <v>78.2</v>
      </c>
      <c r="F194" s="108" t="e">
        <f>(C194*$D$142)+(D194*$D$143)</f>
        <v>#REF!</v>
      </c>
      <c r="G194" s="108" t="e">
        <f>$D$144*A194*1000</f>
        <v>#REF!</v>
      </c>
      <c r="H194" s="108" t="e">
        <f>E194*$D$141</f>
        <v>#REF!</v>
      </c>
      <c r="I194" s="107" t="e">
        <f>F194+G194+H194</f>
        <v>#REF!</v>
      </c>
      <c r="J194" s="106" t="e">
        <f>I194/A194/365/1000</f>
        <v>#REF!</v>
      </c>
      <c r="K194" s="106" t="e">
        <f>$D$45</f>
        <v>#REF!</v>
      </c>
      <c r="L194" s="106" t="e">
        <f>K194+J194</f>
        <v>#REF!</v>
      </c>
      <c r="M194" s="94"/>
      <c r="N194" s="94"/>
    </row>
    <row r="195" spans="1:14">
      <c r="A195" s="94">
        <v>150</v>
      </c>
      <c r="B195" s="94">
        <v>150</v>
      </c>
      <c r="C195" s="107">
        <f>0</f>
        <v>0</v>
      </c>
      <c r="D195" s="107">
        <f>'SNB-2015 '!I89</f>
        <v>0</v>
      </c>
      <c r="E195" s="109">
        <f>'SNB-2015 '!F92</f>
        <v>123.4</v>
      </c>
      <c r="F195" s="108" t="e">
        <f>(C195*$D$142)+(D195*$D$143)</f>
        <v>#REF!</v>
      </c>
      <c r="G195" s="108" t="e">
        <f>$D$144*A195*1000</f>
        <v>#REF!</v>
      </c>
      <c r="H195" s="108" t="e">
        <f>E195*$D$141</f>
        <v>#REF!</v>
      </c>
      <c r="I195" s="107" t="e">
        <f>F195+G195+H195</f>
        <v>#REF!</v>
      </c>
      <c r="J195" s="106" t="e">
        <f>I195/A195/365/1000</f>
        <v>#REF!</v>
      </c>
      <c r="K195" s="106" t="e">
        <f>$D$45</f>
        <v>#REF!</v>
      </c>
      <c r="L195" s="106" t="e">
        <f>K195+J195</f>
        <v>#REF!</v>
      </c>
      <c r="M195" s="94"/>
      <c r="N195" s="94"/>
    </row>
    <row r="196" spans="1:14">
      <c r="A196" s="94">
        <v>200</v>
      </c>
      <c r="B196" s="94">
        <v>200</v>
      </c>
      <c r="C196" s="107">
        <f>0</f>
        <v>0</v>
      </c>
      <c r="D196" s="107">
        <f>'SNB-2015 '!I90</f>
        <v>0</v>
      </c>
      <c r="E196" s="109">
        <f>'SNB-2015 '!F97</f>
        <v>123.5</v>
      </c>
      <c r="F196" s="108" t="e">
        <f>(C196*$D$142)+(D196*$D$143)</f>
        <v>#REF!</v>
      </c>
      <c r="G196" s="108" t="e">
        <f>$D$144*A196*1000</f>
        <v>#REF!</v>
      </c>
      <c r="H196" s="108" t="e">
        <f>E196*$D$141</f>
        <v>#REF!</v>
      </c>
      <c r="I196" s="107" t="e">
        <f>F196+G196+H196</f>
        <v>#REF!</v>
      </c>
      <c r="J196" s="106" t="e">
        <f>I196/A196/365/1000</f>
        <v>#REF!</v>
      </c>
      <c r="K196" s="106" t="e">
        <f>$D$45</f>
        <v>#REF!</v>
      </c>
      <c r="L196" s="106" t="e">
        <f>K196+J196</f>
        <v>#REF!</v>
      </c>
      <c r="M196" s="94"/>
      <c r="N196" s="94"/>
    </row>
    <row r="197" spans="1:14">
      <c r="A197" s="94"/>
      <c r="B197" s="94"/>
      <c r="C197" s="94"/>
      <c r="D197" s="94"/>
      <c r="E197" s="94"/>
      <c r="F197" s="94"/>
      <c r="G197" s="94"/>
      <c r="H197" s="94"/>
      <c r="I197" s="94"/>
      <c r="J197" s="94"/>
      <c r="K197" s="94"/>
      <c r="L197" s="94"/>
      <c r="M197" s="94"/>
      <c r="N197" s="94"/>
    </row>
    <row r="198" spans="1:14">
      <c r="A198" s="94"/>
      <c r="B198" s="94"/>
      <c r="C198" s="94"/>
      <c r="D198" s="94"/>
      <c r="E198" s="94"/>
      <c r="F198" s="94"/>
      <c r="G198" s="94"/>
      <c r="H198" s="94"/>
      <c r="I198" s="94"/>
      <c r="J198" s="104" t="s">
        <v>124</v>
      </c>
      <c r="K198" s="94"/>
      <c r="L198" s="103" t="e">
        <f>AVERAGE(L193:L196)</f>
        <v>#REF!</v>
      </c>
      <c r="M198" s="94" t="s">
        <v>123</v>
      </c>
      <c r="N198" s="94"/>
    </row>
    <row r="199" spans="1:14">
      <c r="A199" s="94"/>
      <c r="B199" s="94"/>
      <c r="C199" s="94"/>
      <c r="D199" s="94"/>
      <c r="E199" s="94"/>
      <c r="F199" s="94"/>
      <c r="G199" s="94"/>
      <c r="H199" s="94"/>
      <c r="I199" s="94"/>
      <c r="J199" s="104"/>
      <c r="K199" s="94"/>
      <c r="L199" s="103"/>
      <c r="M199" s="94"/>
      <c r="N199" s="94"/>
    </row>
    <row r="200" spans="1:14">
      <c r="M200" s="94"/>
      <c r="N200" s="94"/>
    </row>
    <row r="201" spans="1:14" ht="16.2" thickBot="1">
      <c r="A201" s="113" t="s">
        <v>122</v>
      </c>
      <c r="B201" s="94"/>
      <c r="C201" s="94"/>
      <c r="D201" s="94"/>
      <c r="E201" s="94"/>
      <c r="F201" s="94"/>
      <c r="G201" s="94"/>
      <c r="H201" s="94"/>
      <c r="I201" s="94"/>
      <c r="J201" s="94"/>
      <c r="K201" s="94"/>
      <c r="L201" s="94"/>
      <c r="M201" s="94"/>
      <c r="N201" s="94"/>
    </row>
    <row r="202" spans="1:14" ht="14.4" thickBot="1">
      <c r="A202" s="94"/>
      <c r="B202" s="94"/>
      <c r="C202" s="94"/>
      <c r="D202" s="94"/>
      <c r="E202" s="94"/>
      <c r="F202" s="94"/>
      <c r="G202" s="105" t="s">
        <v>121</v>
      </c>
      <c r="H202" s="94"/>
      <c r="I202" s="94"/>
      <c r="J202" s="112" t="s">
        <v>120</v>
      </c>
      <c r="K202" s="91"/>
      <c r="L202" s="111"/>
      <c r="M202" s="94"/>
      <c r="N202" s="94"/>
    </row>
    <row r="203" spans="1:14">
      <c r="A203" s="105"/>
      <c r="B203" s="105"/>
      <c r="C203" s="105" t="s">
        <v>117</v>
      </c>
      <c r="D203" s="105" t="s">
        <v>119</v>
      </c>
      <c r="E203" s="105" t="s">
        <v>118</v>
      </c>
      <c r="F203" s="105" t="s">
        <v>117</v>
      </c>
      <c r="G203" s="105" t="s">
        <v>116</v>
      </c>
      <c r="H203" s="105" t="s">
        <v>115</v>
      </c>
      <c r="I203" s="105"/>
      <c r="J203" s="105" t="s">
        <v>110</v>
      </c>
      <c r="K203" s="105" t="s">
        <v>114</v>
      </c>
      <c r="L203" s="94"/>
      <c r="M203" s="94"/>
      <c r="N203" s="94"/>
    </row>
    <row r="204" spans="1:14">
      <c r="A204" s="110" t="s">
        <v>113</v>
      </c>
      <c r="B204" s="110" t="s">
        <v>112</v>
      </c>
      <c r="C204" s="110" t="s">
        <v>111</v>
      </c>
      <c r="D204" s="110" t="s">
        <v>111</v>
      </c>
      <c r="E204" s="110" t="s">
        <v>111</v>
      </c>
      <c r="F204" s="110" t="s">
        <v>110</v>
      </c>
      <c r="G204" s="110" t="s">
        <v>110</v>
      </c>
      <c r="H204" s="110" t="s">
        <v>110</v>
      </c>
      <c r="I204" s="110" t="s">
        <v>110</v>
      </c>
      <c r="J204" s="110" t="s">
        <v>109</v>
      </c>
      <c r="K204" s="110" t="s">
        <v>108</v>
      </c>
      <c r="L204" s="110" t="s">
        <v>1</v>
      </c>
      <c r="M204" s="94"/>
      <c r="N204" s="94"/>
    </row>
    <row r="205" spans="1:14">
      <c r="A205" s="105" t="s">
        <v>107</v>
      </c>
      <c r="B205" s="105" t="s">
        <v>106</v>
      </c>
      <c r="C205" s="105"/>
      <c r="D205" s="105"/>
      <c r="E205" s="105"/>
      <c r="F205" s="105" t="s">
        <v>105</v>
      </c>
      <c r="G205" s="105" t="s">
        <v>105</v>
      </c>
      <c r="H205" s="105" t="s">
        <v>105</v>
      </c>
      <c r="I205" s="105" t="s">
        <v>105</v>
      </c>
      <c r="J205" s="105" t="s">
        <v>104</v>
      </c>
      <c r="K205" s="105" t="s">
        <v>104</v>
      </c>
      <c r="L205" s="105" t="s">
        <v>104</v>
      </c>
      <c r="M205" s="94"/>
      <c r="N205" s="94"/>
    </row>
    <row r="206" spans="1:14">
      <c r="A206" s="94"/>
      <c r="B206" s="94"/>
      <c r="C206" s="94"/>
      <c r="D206" s="94"/>
      <c r="E206" s="94"/>
      <c r="F206" s="94"/>
      <c r="G206" s="94"/>
      <c r="H206" s="94"/>
      <c r="I206" s="94"/>
      <c r="J206" s="94"/>
      <c r="K206" s="94"/>
      <c r="L206" s="94"/>
      <c r="M206" s="94"/>
      <c r="N206" s="94"/>
    </row>
    <row r="207" spans="1:14">
      <c r="A207" s="94">
        <v>50</v>
      </c>
      <c r="B207" s="94">
        <v>50</v>
      </c>
      <c r="C207" s="107">
        <v>1</v>
      </c>
      <c r="D207" s="107">
        <f>'SNB-2015 '!F107</f>
        <v>1</v>
      </c>
      <c r="E207" s="109">
        <v>0</v>
      </c>
      <c r="F207" s="108" t="e">
        <f>(C207*$D$142)+(D207*$D$143)</f>
        <v>#REF!</v>
      </c>
      <c r="G207" s="108" t="e">
        <f>$D$144*A207*1000</f>
        <v>#REF!</v>
      </c>
      <c r="H207" s="108" t="e">
        <f>E207*$D$141</f>
        <v>#REF!</v>
      </c>
      <c r="I207" s="107" t="e">
        <f>F207+G207+H207</f>
        <v>#REF!</v>
      </c>
      <c r="J207" s="106" t="e">
        <f>I207/A207/365/1000</f>
        <v>#REF!</v>
      </c>
      <c r="K207" s="106" t="e">
        <f>$D$45</f>
        <v>#REF!</v>
      </c>
      <c r="L207" s="106" t="e">
        <f>K207+J207</f>
        <v>#REF!</v>
      </c>
      <c r="M207" s="94"/>
      <c r="N207" s="94"/>
    </row>
    <row r="208" spans="1:14">
      <c r="A208" s="94">
        <v>100</v>
      </c>
      <c r="B208" s="94">
        <v>100</v>
      </c>
      <c r="C208" s="107">
        <v>1</v>
      </c>
      <c r="D208" s="107">
        <f>'SNB-2015 '!F108</f>
        <v>1</v>
      </c>
      <c r="E208" s="109">
        <v>0</v>
      </c>
      <c r="F208" s="108" t="e">
        <f>(C208*$D$142)+(D208*$D$143)</f>
        <v>#REF!</v>
      </c>
      <c r="G208" s="108" t="e">
        <f>$D$144*A208*1000</f>
        <v>#REF!</v>
      </c>
      <c r="H208" s="108" t="e">
        <f>E208*$D$141</f>
        <v>#REF!</v>
      </c>
      <c r="I208" s="107" t="e">
        <f>F208+G208+H208</f>
        <v>#REF!</v>
      </c>
      <c r="J208" s="106" t="e">
        <f>I208/A208/365/1000</f>
        <v>#REF!</v>
      </c>
      <c r="K208" s="106" t="e">
        <f>$D$45</f>
        <v>#REF!</v>
      </c>
      <c r="L208" s="106" t="e">
        <f>K208+J208</f>
        <v>#REF!</v>
      </c>
      <c r="M208" s="94"/>
      <c r="N208" s="94"/>
    </row>
    <row r="209" spans="1:14">
      <c r="A209" s="94">
        <v>150</v>
      </c>
      <c r="B209" s="94">
        <v>150</v>
      </c>
      <c r="C209" s="107">
        <v>1</v>
      </c>
      <c r="D209" s="107">
        <f>'SNB-2015 '!F110</f>
        <v>6</v>
      </c>
      <c r="E209" s="109">
        <v>0</v>
      </c>
      <c r="F209" s="108" t="e">
        <f>(C209*$D$142)+(D209*$D$143)</f>
        <v>#REF!</v>
      </c>
      <c r="G209" s="108" t="e">
        <f>$D$144*A209*1000</f>
        <v>#REF!</v>
      </c>
      <c r="H209" s="108" t="e">
        <f>E209*$D$141</f>
        <v>#REF!</v>
      </c>
      <c r="I209" s="107" t="e">
        <f>F209+G209+H209</f>
        <v>#REF!</v>
      </c>
      <c r="J209" s="106" t="e">
        <f>I209/A209/365/1000</f>
        <v>#REF!</v>
      </c>
      <c r="K209" s="106" t="e">
        <f>$D$45</f>
        <v>#REF!</v>
      </c>
      <c r="L209" s="106" t="e">
        <f>K209+J209</f>
        <v>#REF!</v>
      </c>
      <c r="M209" s="94"/>
      <c r="N209" s="94"/>
    </row>
    <row r="210" spans="1:14">
      <c r="A210" s="94">
        <v>200</v>
      </c>
      <c r="B210" s="94">
        <v>200</v>
      </c>
      <c r="C210" s="107">
        <v>1</v>
      </c>
      <c r="D210" s="107">
        <f>'SNB-2015 '!F111</f>
        <v>6</v>
      </c>
      <c r="E210" s="109">
        <v>0</v>
      </c>
      <c r="F210" s="108" t="e">
        <f>(C210*$D$142)+(D210*$D$143)</f>
        <v>#REF!</v>
      </c>
      <c r="G210" s="108" t="e">
        <f>$D$144*A210*1000</f>
        <v>#REF!</v>
      </c>
      <c r="H210" s="108" t="e">
        <f>E210*$D$141</f>
        <v>#REF!</v>
      </c>
      <c r="I210" s="107" t="e">
        <f>F210+G210+H210</f>
        <v>#REF!</v>
      </c>
      <c r="J210" s="106" t="e">
        <f>I210/A210/365/1000</f>
        <v>#REF!</v>
      </c>
      <c r="K210" s="106" t="e">
        <f>$D$45</f>
        <v>#REF!</v>
      </c>
      <c r="L210" s="106" t="e">
        <f>K210+J210</f>
        <v>#REF!</v>
      </c>
      <c r="M210" s="94"/>
      <c r="N210" s="94"/>
    </row>
    <row r="211" spans="1:14">
      <c r="A211" s="94"/>
      <c r="B211" s="94"/>
      <c r="C211" s="94"/>
      <c r="D211" s="94"/>
      <c r="E211" s="94"/>
      <c r="F211" s="94"/>
      <c r="G211" s="94"/>
      <c r="H211" s="94"/>
      <c r="I211" s="94"/>
      <c r="J211" s="94"/>
      <c r="K211" s="94"/>
      <c r="L211" s="94"/>
      <c r="M211" s="105" t="s">
        <v>103</v>
      </c>
      <c r="N211" s="94"/>
    </row>
    <row r="212" spans="1:14">
      <c r="A212" s="94"/>
      <c r="B212" s="94"/>
      <c r="C212" s="94"/>
      <c r="D212" s="94"/>
      <c r="E212" s="94"/>
      <c r="F212" s="94"/>
      <c r="G212" s="94"/>
      <c r="H212" s="94"/>
      <c r="I212" s="94"/>
      <c r="J212" s="104" t="s">
        <v>102</v>
      </c>
      <c r="K212" s="94"/>
      <c r="L212" s="103" t="e">
        <f>AVERAGE(L207:L210)</f>
        <v>#REF!</v>
      </c>
      <c r="M212" s="94"/>
      <c r="N212" s="94"/>
    </row>
    <row r="213" spans="1:14">
      <c r="A213" s="94"/>
      <c r="B213" s="94"/>
      <c r="C213" s="94"/>
      <c r="D213" s="94"/>
      <c r="E213" s="94"/>
      <c r="F213" s="94"/>
      <c r="G213" s="94"/>
      <c r="H213" s="94"/>
      <c r="I213" s="94"/>
      <c r="J213" s="104"/>
      <c r="K213" s="94"/>
      <c r="L213" s="103"/>
      <c r="M213" s="102" t="s">
        <v>101</v>
      </c>
      <c r="N213" s="94"/>
    </row>
    <row r="214" spans="1:14" ht="15.6">
      <c r="A214" s="94"/>
      <c r="B214" s="94"/>
      <c r="C214" s="101"/>
      <c r="D214" s="100"/>
      <c r="E214" s="100"/>
      <c r="F214" s="100"/>
      <c r="G214" s="100"/>
      <c r="H214" s="100"/>
      <c r="I214" s="100"/>
      <c r="J214" s="99" t="s">
        <v>100</v>
      </c>
      <c r="K214" s="98"/>
      <c r="L214" s="97" t="e">
        <f>ROUND((L185+L198+L212)/3,5)</f>
        <v>#REF!</v>
      </c>
      <c r="M214" s="94"/>
      <c r="N214" s="94"/>
    </row>
    <row r="215" spans="1:14">
      <c r="A215" s="94"/>
      <c r="B215" s="94"/>
      <c r="C215" s="94"/>
      <c r="D215" s="93"/>
      <c r="E215" s="93"/>
      <c r="F215" s="93"/>
      <c r="G215" s="94"/>
      <c r="H215" s="94"/>
      <c r="I215" s="94"/>
      <c r="J215" s="94"/>
      <c r="K215" s="94"/>
      <c r="L215" s="94"/>
      <c r="M215" s="94"/>
      <c r="N215" s="94"/>
    </row>
    <row r="216" spans="1:14" ht="15.6">
      <c r="A216" s="94"/>
      <c r="B216" s="94"/>
      <c r="C216" s="94"/>
      <c r="D216" s="93"/>
      <c r="E216" s="93"/>
      <c r="F216" s="93"/>
      <c r="G216" s="94"/>
      <c r="H216" s="94"/>
      <c r="I216" s="93"/>
      <c r="J216" s="95"/>
      <c r="K216" s="96"/>
      <c r="L216" s="95" t="s">
        <v>99</v>
      </c>
      <c r="M216" s="94"/>
      <c r="N216" s="94"/>
    </row>
    <row r="217" spans="1:14" ht="14.4" thickBot="1">
      <c r="A217" s="94"/>
      <c r="B217" s="94"/>
      <c r="C217" s="94"/>
      <c r="D217" s="93"/>
      <c r="E217" s="93"/>
      <c r="F217" s="93"/>
      <c r="G217" s="94"/>
      <c r="H217" s="94"/>
      <c r="I217" s="94"/>
      <c r="J217" s="94"/>
      <c r="K217" s="94"/>
      <c r="L217" s="94"/>
      <c r="M217" s="94"/>
      <c r="N217" s="94"/>
    </row>
    <row r="218" spans="1:14" ht="16.2" thickBot="1">
      <c r="A218" s="94"/>
      <c r="B218" s="94"/>
      <c r="C218" s="94"/>
      <c r="D218" s="93"/>
      <c r="E218" s="93"/>
      <c r="F218" s="93"/>
      <c r="G218" s="92"/>
      <c r="H218" s="91"/>
      <c r="I218" s="91"/>
      <c r="J218" s="90" t="s">
        <v>98</v>
      </c>
      <c r="K218" s="89"/>
      <c r="L218" s="88" t="e">
        <f>ROUND((L214*365/12),5)</f>
        <v>#REF!</v>
      </c>
    </row>
    <row r="219" spans="1:14">
      <c r="K219" s="49"/>
    </row>
    <row r="220" spans="1:14">
      <c r="K220" s="49"/>
    </row>
    <row r="221" spans="1:14" s="87" customFormat="1"/>
  </sheetData>
  <mergeCells count="5">
    <mergeCell ref="D54:G54"/>
    <mergeCell ref="B57:B62"/>
    <mergeCell ref="B63:B67"/>
    <mergeCell ref="B68:B71"/>
    <mergeCell ref="B72:B74"/>
  </mergeCells>
  <pageMargins left="0.75" right="0.75" top="1" bottom="1" header="0.5" footer="0.5"/>
  <pageSetup paperSize="5" scale="47" fitToHeight="4" orientation="landscape" r:id="rId1"/>
  <headerFooter alignWithMargins="0"/>
  <rowBreaks count="3" manualBreakCount="3">
    <brk id="47" max="12" man="1"/>
    <brk id="112" max="12" man="1"/>
    <brk id="148"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221"/>
  <sheetViews>
    <sheetView view="pageBreakPreview" topLeftCell="A112" zoomScale="75" zoomScaleNormal="75" zoomScaleSheetLayoutView="75" workbookViewId="0">
      <selection activeCell="D134" sqref="D134"/>
    </sheetView>
  </sheetViews>
  <sheetFormatPr defaultRowHeight="13.8"/>
  <cols>
    <col min="1" max="1" width="10.5546875" style="13" bestFit="1" customWidth="1"/>
    <col min="2" max="2" width="44.109375" style="13" customWidth="1"/>
    <col min="3" max="3" width="14.6640625" style="13" customWidth="1"/>
    <col min="4" max="4" width="23.6640625" style="13" bestFit="1" customWidth="1"/>
    <col min="5" max="5" width="11.88671875" style="13" customWidth="1"/>
    <col min="6" max="6" width="20.6640625" style="13" customWidth="1"/>
    <col min="7" max="7" width="15.6640625" style="13" customWidth="1"/>
    <col min="8" max="9" width="16.109375" style="13" bestFit="1" customWidth="1"/>
    <col min="10" max="10" width="13.6640625" style="13" customWidth="1"/>
    <col min="11" max="11" width="12.6640625" style="13" bestFit="1" customWidth="1"/>
    <col min="12" max="12" width="15.5546875" style="13" customWidth="1"/>
    <col min="13" max="13" width="16.109375" style="13" bestFit="1" customWidth="1"/>
    <col min="14" max="14" width="13.33203125" style="13" bestFit="1" customWidth="1"/>
    <col min="15" max="15" width="16.33203125" style="13" bestFit="1" customWidth="1"/>
    <col min="16" max="16" width="9.33203125" style="13" bestFit="1" customWidth="1"/>
    <col min="17" max="17" width="13" style="13" bestFit="1" customWidth="1"/>
    <col min="18" max="18" width="20.109375" style="13" bestFit="1" customWidth="1"/>
    <col min="19" max="19" width="50.33203125" style="13" bestFit="1" customWidth="1"/>
    <col min="20" max="20" width="16.109375" style="13" bestFit="1" customWidth="1"/>
    <col min="21" max="21" width="12.33203125" style="13" customWidth="1"/>
    <col min="22" max="22" width="18.88671875" style="13" bestFit="1" customWidth="1"/>
    <col min="23" max="23" width="16.6640625" style="13" customWidth="1"/>
    <col min="24" max="24" width="19" style="13" bestFit="1" customWidth="1"/>
    <col min="25" max="25" width="9.109375" style="13"/>
    <col min="26" max="26" width="18.88671875" style="13" bestFit="1" customWidth="1"/>
    <col min="27" max="256" width="9.109375" style="13"/>
    <col min="257" max="257" width="10.5546875" style="13" bestFit="1" customWidth="1"/>
    <col min="258" max="258" width="44.109375" style="13" customWidth="1"/>
    <col min="259" max="259" width="14.6640625" style="13" customWidth="1"/>
    <col min="260" max="260" width="23.6640625" style="13" bestFit="1" customWidth="1"/>
    <col min="261" max="261" width="11.88671875" style="13" customWidth="1"/>
    <col min="262" max="262" width="20.6640625" style="13" customWidth="1"/>
    <col min="263" max="263" width="15.6640625" style="13" customWidth="1"/>
    <col min="264" max="265" width="16.109375" style="13" bestFit="1" customWidth="1"/>
    <col min="266" max="266" width="13.6640625" style="13" customWidth="1"/>
    <col min="267" max="267" width="12.6640625" style="13" bestFit="1" customWidth="1"/>
    <col min="268" max="268" width="15.5546875" style="13" customWidth="1"/>
    <col min="269" max="269" width="16.109375" style="13" bestFit="1" customWidth="1"/>
    <col min="270" max="270" width="13.33203125" style="13" bestFit="1" customWidth="1"/>
    <col min="271" max="271" width="16.33203125" style="13" bestFit="1" customWidth="1"/>
    <col min="272" max="272" width="9.33203125" style="13" bestFit="1" customWidth="1"/>
    <col min="273" max="273" width="13" style="13" bestFit="1" customWidth="1"/>
    <col min="274" max="274" width="20.109375" style="13" bestFit="1" customWidth="1"/>
    <col min="275" max="275" width="50.33203125" style="13" bestFit="1" customWidth="1"/>
    <col min="276" max="276" width="16.109375" style="13" bestFit="1" customWidth="1"/>
    <col min="277" max="277" width="12.33203125" style="13" customWidth="1"/>
    <col min="278" max="278" width="18.88671875" style="13" bestFit="1" customWidth="1"/>
    <col min="279" max="279" width="16.6640625" style="13" customWidth="1"/>
    <col min="280" max="280" width="19" style="13" bestFit="1" customWidth="1"/>
    <col min="281" max="281" width="9.109375" style="13"/>
    <col min="282" max="282" width="18.88671875" style="13" bestFit="1" customWidth="1"/>
    <col min="283" max="512" width="9.109375" style="13"/>
    <col min="513" max="513" width="10.5546875" style="13" bestFit="1" customWidth="1"/>
    <col min="514" max="514" width="44.109375" style="13" customWidth="1"/>
    <col min="515" max="515" width="14.6640625" style="13" customWidth="1"/>
    <col min="516" max="516" width="23.6640625" style="13" bestFit="1" customWidth="1"/>
    <col min="517" max="517" width="11.88671875" style="13" customWidth="1"/>
    <col min="518" max="518" width="20.6640625" style="13" customWidth="1"/>
    <col min="519" max="519" width="15.6640625" style="13" customWidth="1"/>
    <col min="520" max="521" width="16.109375" style="13" bestFit="1" customWidth="1"/>
    <col min="522" max="522" width="13.6640625" style="13" customWidth="1"/>
    <col min="523" max="523" width="12.6640625" style="13" bestFit="1" customWidth="1"/>
    <col min="524" max="524" width="15.5546875" style="13" customWidth="1"/>
    <col min="525" max="525" width="16.109375" style="13" bestFit="1" customWidth="1"/>
    <col min="526" max="526" width="13.33203125" style="13" bestFit="1" customWidth="1"/>
    <col min="527" max="527" width="16.33203125" style="13" bestFit="1" customWidth="1"/>
    <col min="528" max="528" width="9.33203125" style="13" bestFit="1" customWidth="1"/>
    <col min="529" max="529" width="13" style="13" bestFit="1" customWidth="1"/>
    <col min="530" max="530" width="20.109375" style="13" bestFit="1" customWidth="1"/>
    <col min="531" max="531" width="50.33203125" style="13" bestFit="1" customWidth="1"/>
    <col min="532" max="532" width="16.109375" style="13" bestFit="1" customWidth="1"/>
    <col min="533" max="533" width="12.33203125" style="13" customWidth="1"/>
    <col min="534" max="534" width="18.88671875" style="13" bestFit="1" customWidth="1"/>
    <col min="535" max="535" width="16.6640625" style="13" customWidth="1"/>
    <col min="536" max="536" width="19" style="13" bestFit="1" customWidth="1"/>
    <col min="537" max="537" width="9.109375" style="13"/>
    <col min="538" max="538" width="18.88671875" style="13" bestFit="1" customWidth="1"/>
    <col min="539" max="768" width="9.109375" style="13"/>
    <col min="769" max="769" width="10.5546875" style="13" bestFit="1" customWidth="1"/>
    <col min="770" max="770" width="44.109375" style="13" customWidth="1"/>
    <col min="771" max="771" width="14.6640625" style="13" customWidth="1"/>
    <col min="772" max="772" width="23.6640625" style="13" bestFit="1" customWidth="1"/>
    <col min="773" max="773" width="11.88671875" style="13" customWidth="1"/>
    <col min="774" max="774" width="20.6640625" style="13" customWidth="1"/>
    <col min="775" max="775" width="15.6640625" style="13" customWidth="1"/>
    <col min="776" max="777" width="16.109375" style="13" bestFit="1" customWidth="1"/>
    <col min="778" max="778" width="13.6640625" style="13" customWidth="1"/>
    <col min="779" max="779" width="12.6640625" style="13" bestFit="1" customWidth="1"/>
    <col min="780" max="780" width="15.5546875" style="13" customWidth="1"/>
    <col min="781" max="781" width="16.109375" style="13" bestFit="1" customWidth="1"/>
    <col min="782" max="782" width="13.33203125" style="13" bestFit="1" customWidth="1"/>
    <col min="783" max="783" width="16.33203125" style="13" bestFit="1" customWidth="1"/>
    <col min="784" max="784" width="9.33203125" style="13" bestFit="1" customWidth="1"/>
    <col min="785" max="785" width="13" style="13" bestFit="1" customWidth="1"/>
    <col min="786" max="786" width="20.109375" style="13" bestFit="1" customWidth="1"/>
    <col min="787" max="787" width="50.33203125" style="13" bestFit="1" customWidth="1"/>
    <col min="788" max="788" width="16.109375" style="13" bestFit="1" customWidth="1"/>
    <col min="789" max="789" width="12.33203125" style="13" customWidth="1"/>
    <col min="790" max="790" width="18.88671875" style="13" bestFit="1" customWidth="1"/>
    <col min="791" max="791" width="16.6640625" style="13" customWidth="1"/>
    <col min="792" max="792" width="19" style="13" bestFit="1" customWidth="1"/>
    <col min="793" max="793" width="9.109375" style="13"/>
    <col min="794" max="794" width="18.88671875" style="13" bestFit="1" customWidth="1"/>
    <col min="795" max="1024" width="9.109375" style="13"/>
    <col min="1025" max="1025" width="10.5546875" style="13" bestFit="1" customWidth="1"/>
    <col min="1026" max="1026" width="44.109375" style="13" customWidth="1"/>
    <col min="1027" max="1027" width="14.6640625" style="13" customWidth="1"/>
    <col min="1028" max="1028" width="23.6640625" style="13" bestFit="1" customWidth="1"/>
    <col min="1029" max="1029" width="11.88671875" style="13" customWidth="1"/>
    <col min="1030" max="1030" width="20.6640625" style="13" customWidth="1"/>
    <col min="1031" max="1031" width="15.6640625" style="13" customWidth="1"/>
    <col min="1032" max="1033" width="16.109375" style="13" bestFit="1" customWidth="1"/>
    <col min="1034" max="1034" width="13.6640625" style="13" customWidth="1"/>
    <col min="1035" max="1035" width="12.6640625" style="13" bestFit="1" customWidth="1"/>
    <col min="1036" max="1036" width="15.5546875" style="13" customWidth="1"/>
    <col min="1037" max="1037" width="16.109375" style="13" bestFit="1" customWidth="1"/>
    <col min="1038" max="1038" width="13.33203125" style="13" bestFit="1" customWidth="1"/>
    <col min="1039" max="1039" width="16.33203125" style="13" bestFit="1" customWidth="1"/>
    <col min="1040" max="1040" width="9.33203125" style="13" bestFit="1" customWidth="1"/>
    <col min="1041" max="1041" width="13" style="13" bestFit="1" customWidth="1"/>
    <col min="1042" max="1042" width="20.109375" style="13" bestFit="1" customWidth="1"/>
    <col min="1043" max="1043" width="50.33203125" style="13" bestFit="1" customWidth="1"/>
    <col min="1044" max="1044" width="16.109375" style="13" bestFit="1" customWidth="1"/>
    <col min="1045" max="1045" width="12.33203125" style="13" customWidth="1"/>
    <col min="1046" max="1046" width="18.88671875" style="13" bestFit="1" customWidth="1"/>
    <col min="1047" max="1047" width="16.6640625" style="13" customWidth="1"/>
    <col min="1048" max="1048" width="19" style="13" bestFit="1" customWidth="1"/>
    <col min="1049" max="1049" width="9.109375" style="13"/>
    <col min="1050" max="1050" width="18.88671875" style="13" bestFit="1" customWidth="1"/>
    <col min="1051" max="1280" width="9.109375" style="13"/>
    <col min="1281" max="1281" width="10.5546875" style="13" bestFit="1" customWidth="1"/>
    <col min="1282" max="1282" width="44.109375" style="13" customWidth="1"/>
    <col min="1283" max="1283" width="14.6640625" style="13" customWidth="1"/>
    <col min="1284" max="1284" width="23.6640625" style="13" bestFit="1" customWidth="1"/>
    <col min="1285" max="1285" width="11.88671875" style="13" customWidth="1"/>
    <col min="1286" max="1286" width="20.6640625" style="13" customWidth="1"/>
    <col min="1287" max="1287" width="15.6640625" style="13" customWidth="1"/>
    <col min="1288" max="1289" width="16.109375" style="13" bestFit="1" customWidth="1"/>
    <col min="1290" max="1290" width="13.6640625" style="13" customWidth="1"/>
    <col min="1291" max="1291" width="12.6640625" style="13" bestFit="1" customWidth="1"/>
    <col min="1292" max="1292" width="15.5546875" style="13" customWidth="1"/>
    <col min="1293" max="1293" width="16.109375" style="13" bestFit="1" customWidth="1"/>
    <col min="1294" max="1294" width="13.33203125" style="13" bestFit="1" customWidth="1"/>
    <col min="1295" max="1295" width="16.33203125" style="13" bestFit="1" customWidth="1"/>
    <col min="1296" max="1296" width="9.33203125" style="13" bestFit="1" customWidth="1"/>
    <col min="1297" max="1297" width="13" style="13" bestFit="1" customWidth="1"/>
    <col min="1298" max="1298" width="20.109375" style="13" bestFit="1" customWidth="1"/>
    <col min="1299" max="1299" width="50.33203125" style="13" bestFit="1" customWidth="1"/>
    <col min="1300" max="1300" width="16.109375" style="13" bestFit="1" customWidth="1"/>
    <col min="1301" max="1301" width="12.33203125" style="13" customWidth="1"/>
    <col min="1302" max="1302" width="18.88671875" style="13" bestFit="1" customWidth="1"/>
    <col min="1303" max="1303" width="16.6640625" style="13" customWidth="1"/>
    <col min="1304" max="1304" width="19" style="13" bestFit="1" customWidth="1"/>
    <col min="1305" max="1305" width="9.109375" style="13"/>
    <col min="1306" max="1306" width="18.88671875" style="13" bestFit="1" customWidth="1"/>
    <col min="1307" max="1536" width="9.109375" style="13"/>
    <col min="1537" max="1537" width="10.5546875" style="13" bestFit="1" customWidth="1"/>
    <col min="1538" max="1538" width="44.109375" style="13" customWidth="1"/>
    <col min="1539" max="1539" width="14.6640625" style="13" customWidth="1"/>
    <col min="1540" max="1540" width="23.6640625" style="13" bestFit="1" customWidth="1"/>
    <col min="1541" max="1541" width="11.88671875" style="13" customWidth="1"/>
    <col min="1542" max="1542" width="20.6640625" style="13" customWidth="1"/>
    <col min="1543" max="1543" width="15.6640625" style="13" customWidth="1"/>
    <col min="1544" max="1545" width="16.109375" style="13" bestFit="1" customWidth="1"/>
    <col min="1546" max="1546" width="13.6640625" style="13" customWidth="1"/>
    <col min="1547" max="1547" width="12.6640625" style="13" bestFit="1" customWidth="1"/>
    <col min="1548" max="1548" width="15.5546875" style="13" customWidth="1"/>
    <col min="1549" max="1549" width="16.109375" style="13" bestFit="1" customWidth="1"/>
    <col min="1550" max="1550" width="13.33203125" style="13" bestFit="1" customWidth="1"/>
    <col min="1551" max="1551" width="16.33203125" style="13" bestFit="1" customWidth="1"/>
    <col min="1552" max="1552" width="9.33203125" style="13" bestFit="1" customWidth="1"/>
    <col min="1553" max="1553" width="13" style="13" bestFit="1" customWidth="1"/>
    <col min="1554" max="1554" width="20.109375" style="13" bestFit="1" customWidth="1"/>
    <col min="1555" max="1555" width="50.33203125" style="13" bestFit="1" customWidth="1"/>
    <col min="1556" max="1556" width="16.109375" style="13" bestFit="1" customWidth="1"/>
    <col min="1557" max="1557" width="12.33203125" style="13" customWidth="1"/>
    <col min="1558" max="1558" width="18.88671875" style="13" bestFit="1" customWidth="1"/>
    <col min="1559" max="1559" width="16.6640625" style="13" customWidth="1"/>
    <col min="1560" max="1560" width="19" style="13" bestFit="1" customWidth="1"/>
    <col min="1561" max="1561" width="9.109375" style="13"/>
    <col min="1562" max="1562" width="18.88671875" style="13" bestFit="1" customWidth="1"/>
    <col min="1563" max="1792" width="9.109375" style="13"/>
    <col min="1793" max="1793" width="10.5546875" style="13" bestFit="1" customWidth="1"/>
    <col min="1794" max="1794" width="44.109375" style="13" customWidth="1"/>
    <col min="1795" max="1795" width="14.6640625" style="13" customWidth="1"/>
    <col min="1796" max="1796" width="23.6640625" style="13" bestFit="1" customWidth="1"/>
    <col min="1797" max="1797" width="11.88671875" style="13" customWidth="1"/>
    <col min="1798" max="1798" width="20.6640625" style="13" customWidth="1"/>
    <col min="1799" max="1799" width="15.6640625" style="13" customWidth="1"/>
    <col min="1800" max="1801" width="16.109375" style="13" bestFit="1" customWidth="1"/>
    <col min="1802" max="1802" width="13.6640625" style="13" customWidth="1"/>
    <col min="1803" max="1803" width="12.6640625" style="13" bestFit="1" customWidth="1"/>
    <col min="1804" max="1804" width="15.5546875" style="13" customWidth="1"/>
    <col min="1805" max="1805" width="16.109375" style="13" bestFit="1" customWidth="1"/>
    <col min="1806" max="1806" width="13.33203125" style="13" bestFit="1" customWidth="1"/>
    <col min="1807" max="1807" width="16.33203125" style="13" bestFit="1" customWidth="1"/>
    <col min="1808" max="1808" width="9.33203125" style="13" bestFit="1" customWidth="1"/>
    <col min="1809" max="1809" width="13" style="13" bestFit="1" customWidth="1"/>
    <col min="1810" max="1810" width="20.109375" style="13" bestFit="1" customWidth="1"/>
    <col min="1811" max="1811" width="50.33203125" style="13" bestFit="1" customWidth="1"/>
    <col min="1812" max="1812" width="16.109375" style="13" bestFit="1" customWidth="1"/>
    <col min="1813" max="1813" width="12.33203125" style="13" customWidth="1"/>
    <col min="1814" max="1814" width="18.88671875" style="13" bestFit="1" customWidth="1"/>
    <col min="1815" max="1815" width="16.6640625" style="13" customWidth="1"/>
    <col min="1816" max="1816" width="19" style="13" bestFit="1" customWidth="1"/>
    <col min="1817" max="1817" width="9.109375" style="13"/>
    <col min="1818" max="1818" width="18.88671875" style="13" bestFit="1" customWidth="1"/>
    <col min="1819" max="2048" width="9.109375" style="13"/>
    <col min="2049" max="2049" width="10.5546875" style="13" bestFit="1" customWidth="1"/>
    <col min="2050" max="2050" width="44.109375" style="13" customWidth="1"/>
    <col min="2051" max="2051" width="14.6640625" style="13" customWidth="1"/>
    <col min="2052" max="2052" width="23.6640625" style="13" bestFit="1" customWidth="1"/>
    <col min="2053" max="2053" width="11.88671875" style="13" customWidth="1"/>
    <col min="2054" max="2054" width="20.6640625" style="13" customWidth="1"/>
    <col min="2055" max="2055" width="15.6640625" style="13" customWidth="1"/>
    <col min="2056" max="2057" width="16.109375" style="13" bestFit="1" customWidth="1"/>
    <col min="2058" max="2058" width="13.6640625" style="13" customWidth="1"/>
    <col min="2059" max="2059" width="12.6640625" style="13" bestFit="1" customWidth="1"/>
    <col min="2060" max="2060" width="15.5546875" style="13" customWidth="1"/>
    <col min="2061" max="2061" width="16.109375" style="13" bestFit="1" customWidth="1"/>
    <col min="2062" max="2062" width="13.33203125" style="13" bestFit="1" customWidth="1"/>
    <col min="2063" max="2063" width="16.33203125" style="13" bestFit="1" customWidth="1"/>
    <col min="2064" max="2064" width="9.33203125" style="13" bestFit="1" customWidth="1"/>
    <col min="2065" max="2065" width="13" style="13" bestFit="1" customWidth="1"/>
    <col min="2066" max="2066" width="20.109375" style="13" bestFit="1" customWidth="1"/>
    <col min="2067" max="2067" width="50.33203125" style="13" bestFit="1" customWidth="1"/>
    <col min="2068" max="2068" width="16.109375" style="13" bestFit="1" customWidth="1"/>
    <col min="2069" max="2069" width="12.33203125" style="13" customWidth="1"/>
    <col min="2070" max="2070" width="18.88671875" style="13" bestFit="1" customWidth="1"/>
    <col min="2071" max="2071" width="16.6640625" style="13" customWidth="1"/>
    <col min="2072" max="2072" width="19" style="13" bestFit="1" customWidth="1"/>
    <col min="2073" max="2073" width="9.109375" style="13"/>
    <col min="2074" max="2074" width="18.88671875" style="13" bestFit="1" customWidth="1"/>
    <col min="2075" max="2304" width="9.109375" style="13"/>
    <col min="2305" max="2305" width="10.5546875" style="13" bestFit="1" customWidth="1"/>
    <col min="2306" max="2306" width="44.109375" style="13" customWidth="1"/>
    <col min="2307" max="2307" width="14.6640625" style="13" customWidth="1"/>
    <col min="2308" max="2308" width="23.6640625" style="13" bestFit="1" customWidth="1"/>
    <col min="2309" max="2309" width="11.88671875" style="13" customWidth="1"/>
    <col min="2310" max="2310" width="20.6640625" style="13" customWidth="1"/>
    <col min="2311" max="2311" width="15.6640625" style="13" customWidth="1"/>
    <col min="2312" max="2313" width="16.109375" style="13" bestFit="1" customWidth="1"/>
    <col min="2314" max="2314" width="13.6640625" style="13" customWidth="1"/>
    <col min="2315" max="2315" width="12.6640625" style="13" bestFit="1" customWidth="1"/>
    <col min="2316" max="2316" width="15.5546875" style="13" customWidth="1"/>
    <col min="2317" max="2317" width="16.109375" style="13" bestFit="1" customWidth="1"/>
    <col min="2318" max="2318" width="13.33203125" style="13" bestFit="1" customWidth="1"/>
    <col min="2319" max="2319" width="16.33203125" style="13" bestFit="1" customWidth="1"/>
    <col min="2320" max="2320" width="9.33203125" style="13" bestFit="1" customWidth="1"/>
    <col min="2321" max="2321" width="13" style="13" bestFit="1" customWidth="1"/>
    <col min="2322" max="2322" width="20.109375" style="13" bestFit="1" customWidth="1"/>
    <col min="2323" max="2323" width="50.33203125" style="13" bestFit="1" customWidth="1"/>
    <col min="2324" max="2324" width="16.109375" style="13" bestFit="1" customWidth="1"/>
    <col min="2325" max="2325" width="12.33203125" style="13" customWidth="1"/>
    <col min="2326" max="2326" width="18.88671875" style="13" bestFit="1" customWidth="1"/>
    <col min="2327" max="2327" width="16.6640625" style="13" customWidth="1"/>
    <col min="2328" max="2328" width="19" style="13" bestFit="1" customWidth="1"/>
    <col min="2329" max="2329" width="9.109375" style="13"/>
    <col min="2330" max="2330" width="18.88671875" style="13" bestFit="1" customWidth="1"/>
    <col min="2331" max="2560" width="9.109375" style="13"/>
    <col min="2561" max="2561" width="10.5546875" style="13" bestFit="1" customWidth="1"/>
    <col min="2562" max="2562" width="44.109375" style="13" customWidth="1"/>
    <col min="2563" max="2563" width="14.6640625" style="13" customWidth="1"/>
    <col min="2564" max="2564" width="23.6640625" style="13" bestFit="1" customWidth="1"/>
    <col min="2565" max="2565" width="11.88671875" style="13" customWidth="1"/>
    <col min="2566" max="2566" width="20.6640625" style="13" customWidth="1"/>
    <col min="2567" max="2567" width="15.6640625" style="13" customWidth="1"/>
    <col min="2568" max="2569" width="16.109375" style="13" bestFit="1" customWidth="1"/>
    <col min="2570" max="2570" width="13.6640625" style="13" customWidth="1"/>
    <col min="2571" max="2571" width="12.6640625" style="13" bestFit="1" customWidth="1"/>
    <col min="2572" max="2572" width="15.5546875" style="13" customWidth="1"/>
    <col min="2573" max="2573" width="16.109375" style="13" bestFit="1" customWidth="1"/>
    <col min="2574" max="2574" width="13.33203125" style="13" bestFit="1" customWidth="1"/>
    <col min="2575" max="2575" width="16.33203125" style="13" bestFit="1" customWidth="1"/>
    <col min="2576" max="2576" width="9.33203125" style="13" bestFit="1" customWidth="1"/>
    <col min="2577" max="2577" width="13" style="13" bestFit="1" customWidth="1"/>
    <col min="2578" max="2578" width="20.109375" style="13" bestFit="1" customWidth="1"/>
    <col min="2579" max="2579" width="50.33203125" style="13" bestFit="1" customWidth="1"/>
    <col min="2580" max="2580" width="16.109375" style="13" bestFit="1" customWidth="1"/>
    <col min="2581" max="2581" width="12.33203125" style="13" customWidth="1"/>
    <col min="2582" max="2582" width="18.88671875" style="13" bestFit="1" customWidth="1"/>
    <col min="2583" max="2583" width="16.6640625" style="13" customWidth="1"/>
    <col min="2584" max="2584" width="19" style="13" bestFit="1" customWidth="1"/>
    <col min="2585" max="2585" width="9.109375" style="13"/>
    <col min="2586" max="2586" width="18.88671875" style="13" bestFit="1" customWidth="1"/>
    <col min="2587" max="2816" width="9.109375" style="13"/>
    <col min="2817" max="2817" width="10.5546875" style="13" bestFit="1" customWidth="1"/>
    <col min="2818" max="2818" width="44.109375" style="13" customWidth="1"/>
    <col min="2819" max="2819" width="14.6640625" style="13" customWidth="1"/>
    <col min="2820" max="2820" width="23.6640625" style="13" bestFit="1" customWidth="1"/>
    <col min="2821" max="2821" width="11.88671875" style="13" customWidth="1"/>
    <col min="2822" max="2822" width="20.6640625" style="13" customWidth="1"/>
    <col min="2823" max="2823" width="15.6640625" style="13" customWidth="1"/>
    <col min="2824" max="2825" width="16.109375" style="13" bestFit="1" customWidth="1"/>
    <col min="2826" max="2826" width="13.6640625" style="13" customWidth="1"/>
    <col min="2827" max="2827" width="12.6640625" style="13" bestFit="1" customWidth="1"/>
    <col min="2828" max="2828" width="15.5546875" style="13" customWidth="1"/>
    <col min="2829" max="2829" width="16.109375" style="13" bestFit="1" customWidth="1"/>
    <col min="2830" max="2830" width="13.33203125" style="13" bestFit="1" customWidth="1"/>
    <col min="2831" max="2831" width="16.33203125" style="13" bestFit="1" customWidth="1"/>
    <col min="2832" max="2832" width="9.33203125" style="13" bestFit="1" customWidth="1"/>
    <col min="2833" max="2833" width="13" style="13" bestFit="1" customWidth="1"/>
    <col min="2834" max="2834" width="20.109375" style="13" bestFit="1" customWidth="1"/>
    <col min="2835" max="2835" width="50.33203125" style="13" bestFit="1" customWidth="1"/>
    <col min="2836" max="2836" width="16.109375" style="13" bestFit="1" customWidth="1"/>
    <col min="2837" max="2837" width="12.33203125" style="13" customWidth="1"/>
    <col min="2838" max="2838" width="18.88671875" style="13" bestFit="1" customWidth="1"/>
    <col min="2839" max="2839" width="16.6640625" style="13" customWidth="1"/>
    <col min="2840" max="2840" width="19" style="13" bestFit="1" customWidth="1"/>
    <col min="2841" max="2841" width="9.109375" style="13"/>
    <col min="2842" max="2842" width="18.88671875" style="13" bestFit="1" customWidth="1"/>
    <col min="2843" max="3072" width="9.109375" style="13"/>
    <col min="3073" max="3073" width="10.5546875" style="13" bestFit="1" customWidth="1"/>
    <col min="3074" max="3074" width="44.109375" style="13" customWidth="1"/>
    <col min="3075" max="3075" width="14.6640625" style="13" customWidth="1"/>
    <col min="3076" max="3076" width="23.6640625" style="13" bestFit="1" customWidth="1"/>
    <col min="3077" max="3077" width="11.88671875" style="13" customWidth="1"/>
    <col min="3078" max="3078" width="20.6640625" style="13" customWidth="1"/>
    <col min="3079" max="3079" width="15.6640625" style="13" customWidth="1"/>
    <col min="3080" max="3081" width="16.109375" style="13" bestFit="1" customWidth="1"/>
    <col min="3082" max="3082" width="13.6640625" style="13" customWidth="1"/>
    <col min="3083" max="3083" width="12.6640625" style="13" bestFit="1" customWidth="1"/>
    <col min="3084" max="3084" width="15.5546875" style="13" customWidth="1"/>
    <col min="3085" max="3085" width="16.109375" style="13" bestFit="1" customWidth="1"/>
    <col min="3086" max="3086" width="13.33203125" style="13" bestFit="1" customWidth="1"/>
    <col min="3087" max="3087" width="16.33203125" style="13" bestFit="1" customWidth="1"/>
    <col min="3088" max="3088" width="9.33203125" style="13" bestFit="1" customWidth="1"/>
    <col min="3089" max="3089" width="13" style="13" bestFit="1" customWidth="1"/>
    <col min="3090" max="3090" width="20.109375" style="13" bestFit="1" customWidth="1"/>
    <col min="3091" max="3091" width="50.33203125" style="13" bestFit="1" customWidth="1"/>
    <col min="3092" max="3092" width="16.109375" style="13" bestFit="1" customWidth="1"/>
    <col min="3093" max="3093" width="12.33203125" style="13" customWidth="1"/>
    <col min="3094" max="3094" width="18.88671875" style="13" bestFit="1" customWidth="1"/>
    <col min="3095" max="3095" width="16.6640625" style="13" customWidth="1"/>
    <col min="3096" max="3096" width="19" style="13" bestFit="1" customWidth="1"/>
    <col min="3097" max="3097" width="9.109375" style="13"/>
    <col min="3098" max="3098" width="18.88671875" style="13" bestFit="1" customWidth="1"/>
    <col min="3099" max="3328" width="9.109375" style="13"/>
    <col min="3329" max="3329" width="10.5546875" style="13" bestFit="1" customWidth="1"/>
    <col min="3330" max="3330" width="44.109375" style="13" customWidth="1"/>
    <col min="3331" max="3331" width="14.6640625" style="13" customWidth="1"/>
    <col min="3332" max="3332" width="23.6640625" style="13" bestFit="1" customWidth="1"/>
    <col min="3333" max="3333" width="11.88671875" style="13" customWidth="1"/>
    <col min="3334" max="3334" width="20.6640625" style="13" customWidth="1"/>
    <col min="3335" max="3335" width="15.6640625" style="13" customWidth="1"/>
    <col min="3336" max="3337" width="16.109375" style="13" bestFit="1" customWidth="1"/>
    <col min="3338" max="3338" width="13.6640625" style="13" customWidth="1"/>
    <col min="3339" max="3339" width="12.6640625" style="13" bestFit="1" customWidth="1"/>
    <col min="3340" max="3340" width="15.5546875" style="13" customWidth="1"/>
    <col min="3341" max="3341" width="16.109375" style="13" bestFit="1" customWidth="1"/>
    <col min="3342" max="3342" width="13.33203125" style="13" bestFit="1" customWidth="1"/>
    <col min="3343" max="3343" width="16.33203125" style="13" bestFit="1" customWidth="1"/>
    <col min="3344" max="3344" width="9.33203125" style="13" bestFit="1" customWidth="1"/>
    <col min="3345" max="3345" width="13" style="13" bestFit="1" customWidth="1"/>
    <col min="3346" max="3346" width="20.109375" style="13" bestFit="1" customWidth="1"/>
    <col min="3347" max="3347" width="50.33203125" style="13" bestFit="1" customWidth="1"/>
    <col min="3348" max="3348" width="16.109375" style="13" bestFit="1" customWidth="1"/>
    <col min="3349" max="3349" width="12.33203125" style="13" customWidth="1"/>
    <col min="3350" max="3350" width="18.88671875" style="13" bestFit="1" customWidth="1"/>
    <col min="3351" max="3351" width="16.6640625" style="13" customWidth="1"/>
    <col min="3352" max="3352" width="19" style="13" bestFit="1" customWidth="1"/>
    <col min="3353" max="3353" width="9.109375" style="13"/>
    <col min="3354" max="3354" width="18.88671875" style="13" bestFit="1" customWidth="1"/>
    <col min="3355" max="3584" width="9.109375" style="13"/>
    <col min="3585" max="3585" width="10.5546875" style="13" bestFit="1" customWidth="1"/>
    <col min="3586" max="3586" width="44.109375" style="13" customWidth="1"/>
    <col min="3587" max="3587" width="14.6640625" style="13" customWidth="1"/>
    <col min="3588" max="3588" width="23.6640625" style="13" bestFit="1" customWidth="1"/>
    <col min="3589" max="3589" width="11.88671875" style="13" customWidth="1"/>
    <col min="3590" max="3590" width="20.6640625" style="13" customWidth="1"/>
    <col min="3591" max="3591" width="15.6640625" style="13" customWidth="1"/>
    <col min="3592" max="3593" width="16.109375" style="13" bestFit="1" customWidth="1"/>
    <col min="3594" max="3594" width="13.6640625" style="13" customWidth="1"/>
    <col min="3595" max="3595" width="12.6640625" style="13" bestFit="1" customWidth="1"/>
    <col min="3596" max="3596" width="15.5546875" style="13" customWidth="1"/>
    <col min="3597" max="3597" width="16.109375" style="13" bestFit="1" customWidth="1"/>
    <col min="3598" max="3598" width="13.33203125" style="13" bestFit="1" customWidth="1"/>
    <col min="3599" max="3599" width="16.33203125" style="13" bestFit="1" customWidth="1"/>
    <col min="3600" max="3600" width="9.33203125" style="13" bestFit="1" customWidth="1"/>
    <col min="3601" max="3601" width="13" style="13" bestFit="1" customWidth="1"/>
    <col min="3602" max="3602" width="20.109375" style="13" bestFit="1" customWidth="1"/>
    <col min="3603" max="3603" width="50.33203125" style="13" bestFit="1" customWidth="1"/>
    <col min="3604" max="3604" width="16.109375" style="13" bestFit="1" customWidth="1"/>
    <col min="3605" max="3605" width="12.33203125" style="13" customWidth="1"/>
    <col min="3606" max="3606" width="18.88671875" style="13" bestFit="1" customWidth="1"/>
    <col min="3607" max="3607" width="16.6640625" style="13" customWidth="1"/>
    <col min="3608" max="3608" width="19" style="13" bestFit="1" customWidth="1"/>
    <col min="3609" max="3609" width="9.109375" style="13"/>
    <col min="3610" max="3610" width="18.88671875" style="13" bestFit="1" customWidth="1"/>
    <col min="3611" max="3840" width="9.109375" style="13"/>
    <col min="3841" max="3841" width="10.5546875" style="13" bestFit="1" customWidth="1"/>
    <col min="3842" max="3842" width="44.109375" style="13" customWidth="1"/>
    <col min="3843" max="3843" width="14.6640625" style="13" customWidth="1"/>
    <col min="3844" max="3844" width="23.6640625" style="13" bestFit="1" customWidth="1"/>
    <col min="3845" max="3845" width="11.88671875" style="13" customWidth="1"/>
    <col min="3846" max="3846" width="20.6640625" style="13" customWidth="1"/>
    <col min="3847" max="3847" width="15.6640625" style="13" customWidth="1"/>
    <col min="3848" max="3849" width="16.109375" style="13" bestFit="1" customWidth="1"/>
    <col min="3850" max="3850" width="13.6640625" style="13" customWidth="1"/>
    <col min="3851" max="3851" width="12.6640625" style="13" bestFit="1" customWidth="1"/>
    <col min="3852" max="3852" width="15.5546875" style="13" customWidth="1"/>
    <col min="3853" max="3853" width="16.109375" style="13" bestFit="1" customWidth="1"/>
    <col min="3854" max="3854" width="13.33203125" style="13" bestFit="1" customWidth="1"/>
    <col min="3855" max="3855" width="16.33203125" style="13" bestFit="1" customWidth="1"/>
    <col min="3856" max="3856" width="9.33203125" style="13" bestFit="1" customWidth="1"/>
    <col min="3857" max="3857" width="13" style="13" bestFit="1" customWidth="1"/>
    <col min="3858" max="3858" width="20.109375" style="13" bestFit="1" customWidth="1"/>
    <col min="3859" max="3859" width="50.33203125" style="13" bestFit="1" customWidth="1"/>
    <col min="3860" max="3860" width="16.109375" style="13" bestFit="1" customWidth="1"/>
    <col min="3861" max="3861" width="12.33203125" style="13" customWidth="1"/>
    <col min="3862" max="3862" width="18.88671875" style="13" bestFit="1" customWidth="1"/>
    <col min="3863" max="3863" width="16.6640625" style="13" customWidth="1"/>
    <col min="3864" max="3864" width="19" style="13" bestFit="1" customWidth="1"/>
    <col min="3865" max="3865" width="9.109375" style="13"/>
    <col min="3866" max="3866" width="18.88671875" style="13" bestFit="1" customWidth="1"/>
    <col min="3867" max="4096" width="9.109375" style="13"/>
    <col min="4097" max="4097" width="10.5546875" style="13" bestFit="1" customWidth="1"/>
    <col min="4098" max="4098" width="44.109375" style="13" customWidth="1"/>
    <col min="4099" max="4099" width="14.6640625" style="13" customWidth="1"/>
    <col min="4100" max="4100" width="23.6640625" style="13" bestFit="1" customWidth="1"/>
    <col min="4101" max="4101" width="11.88671875" style="13" customWidth="1"/>
    <col min="4102" max="4102" width="20.6640625" style="13" customWidth="1"/>
    <col min="4103" max="4103" width="15.6640625" style="13" customWidth="1"/>
    <col min="4104" max="4105" width="16.109375" style="13" bestFit="1" customWidth="1"/>
    <col min="4106" max="4106" width="13.6640625" style="13" customWidth="1"/>
    <col min="4107" max="4107" width="12.6640625" style="13" bestFit="1" customWidth="1"/>
    <col min="4108" max="4108" width="15.5546875" style="13" customWidth="1"/>
    <col min="4109" max="4109" width="16.109375" style="13" bestFit="1" customWidth="1"/>
    <col min="4110" max="4110" width="13.33203125" style="13" bestFit="1" customWidth="1"/>
    <col min="4111" max="4111" width="16.33203125" style="13" bestFit="1" customWidth="1"/>
    <col min="4112" max="4112" width="9.33203125" style="13" bestFit="1" customWidth="1"/>
    <col min="4113" max="4113" width="13" style="13" bestFit="1" customWidth="1"/>
    <col min="4114" max="4114" width="20.109375" style="13" bestFit="1" customWidth="1"/>
    <col min="4115" max="4115" width="50.33203125" style="13" bestFit="1" customWidth="1"/>
    <col min="4116" max="4116" width="16.109375" style="13" bestFit="1" customWidth="1"/>
    <col min="4117" max="4117" width="12.33203125" style="13" customWidth="1"/>
    <col min="4118" max="4118" width="18.88671875" style="13" bestFit="1" customWidth="1"/>
    <col min="4119" max="4119" width="16.6640625" style="13" customWidth="1"/>
    <col min="4120" max="4120" width="19" style="13" bestFit="1" customWidth="1"/>
    <col min="4121" max="4121" width="9.109375" style="13"/>
    <col min="4122" max="4122" width="18.88671875" style="13" bestFit="1" customWidth="1"/>
    <col min="4123" max="4352" width="9.109375" style="13"/>
    <col min="4353" max="4353" width="10.5546875" style="13" bestFit="1" customWidth="1"/>
    <col min="4354" max="4354" width="44.109375" style="13" customWidth="1"/>
    <col min="4355" max="4355" width="14.6640625" style="13" customWidth="1"/>
    <col min="4356" max="4356" width="23.6640625" style="13" bestFit="1" customWidth="1"/>
    <col min="4357" max="4357" width="11.88671875" style="13" customWidth="1"/>
    <col min="4358" max="4358" width="20.6640625" style="13" customWidth="1"/>
    <col min="4359" max="4359" width="15.6640625" style="13" customWidth="1"/>
    <col min="4360" max="4361" width="16.109375" style="13" bestFit="1" customWidth="1"/>
    <col min="4362" max="4362" width="13.6640625" style="13" customWidth="1"/>
    <col min="4363" max="4363" width="12.6640625" style="13" bestFit="1" customWidth="1"/>
    <col min="4364" max="4364" width="15.5546875" style="13" customWidth="1"/>
    <col min="4365" max="4365" width="16.109375" style="13" bestFit="1" customWidth="1"/>
    <col min="4366" max="4366" width="13.33203125" style="13" bestFit="1" customWidth="1"/>
    <col min="4367" max="4367" width="16.33203125" style="13" bestFit="1" customWidth="1"/>
    <col min="4368" max="4368" width="9.33203125" style="13" bestFit="1" customWidth="1"/>
    <col min="4369" max="4369" width="13" style="13" bestFit="1" customWidth="1"/>
    <col min="4370" max="4370" width="20.109375" style="13" bestFit="1" customWidth="1"/>
    <col min="4371" max="4371" width="50.33203125" style="13" bestFit="1" customWidth="1"/>
    <col min="4372" max="4372" width="16.109375" style="13" bestFit="1" customWidth="1"/>
    <col min="4373" max="4373" width="12.33203125" style="13" customWidth="1"/>
    <col min="4374" max="4374" width="18.88671875" style="13" bestFit="1" customWidth="1"/>
    <col min="4375" max="4375" width="16.6640625" style="13" customWidth="1"/>
    <col min="4376" max="4376" width="19" style="13" bestFit="1" customWidth="1"/>
    <col min="4377" max="4377" width="9.109375" style="13"/>
    <col min="4378" max="4378" width="18.88671875" style="13" bestFit="1" customWidth="1"/>
    <col min="4379" max="4608" width="9.109375" style="13"/>
    <col min="4609" max="4609" width="10.5546875" style="13" bestFit="1" customWidth="1"/>
    <col min="4610" max="4610" width="44.109375" style="13" customWidth="1"/>
    <col min="4611" max="4611" width="14.6640625" style="13" customWidth="1"/>
    <col min="4612" max="4612" width="23.6640625" style="13" bestFit="1" customWidth="1"/>
    <col min="4613" max="4613" width="11.88671875" style="13" customWidth="1"/>
    <col min="4614" max="4614" width="20.6640625" style="13" customWidth="1"/>
    <col min="4615" max="4615" width="15.6640625" style="13" customWidth="1"/>
    <col min="4616" max="4617" width="16.109375" style="13" bestFit="1" customWidth="1"/>
    <col min="4618" max="4618" width="13.6640625" style="13" customWidth="1"/>
    <col min="4619" max="4619" width="12.6640625" style="13" bestFit="1" customWidth="1"/>
    <col min="4620" max="4620" width="15.5546875" style="13" customWidth="1"/>
    <col min="4621" max="4621" width="16.109375" style="13" bestFit="1" customWidth="1"/>
    <col min="4622" max="4622" width="13.33203125" style="13" bestFit="1" customWidth="1"/>
    <col min="4623" max="4623" width="16.33203125" style="13" bestFit="1" customWidth="1"/>
    <col min="4624" max="4624" width="9.33203125" style="13" bestFit="1" customWidth="1"/>
    <col min="4625" max="4625" width="13" style="13" bestFit="1" customWidth="1"/>
    <col min="4626" max="4626" width="20.109375" style="13" bestFit="1" customWidth="1"/>
    <col min="4627" max="4627" width="50.33203125" style="13" bestFit="1" customWidth="1"/>
    <col min="4628" max="4628" width="16.109375" style="13" bestFit="1" customWidth="1"/>
    <col min="4629" max="4629" width="12.33203125" style="13" customWidth="1"/>
    <col min="4630" max="4630" width="18.88671875" style="13" bestFit="1" customWidth="1"/>
    <col min="4631" max="4631" width="16.6640625" style="13" customWidth="1"/>
    <col min="4632" max="4632" width="19" style="13" bestFit="1" customWidth="1"/>
    <col min="4633" max="4633" width="9.109375" style="13"/>
    <col min="4634" max="4634" width="18.88671875" style="13" bestFit="1" customWidth="1"/>
    <col min="4635" max="4864" width="9.109375" style="13"/>
    <col min="4865" max="4865" width="10.5546875" style="13" bestFit="1" customWidth="1"/>
    <col min="4866" max="4866" width="44.109375" style="13" customWidth="1"/>
    <col min="4867" max="4867" width="14.6640625" style="13" customWidth="1"/>
    <col min="4868" max="4868" width="23.6640625" style="13" bestFit="1" customWidth="1"/>
    <col min="4869" max="4869" width="11.88671875" style="13" customWidth="1"/>
    <col min="4870" max="4870" width="20.6640625" style="13" customWidth="1"/>
    <col min="4871" max="4871" width="15.6640625" style="13" customWidth="1"/>
    <col min="4872" max="4873" width="16.109375" style="13" bestFit="1" customWidth="1"/>
    <col min="4874" max="4874" width="13.6640625" style="13" customWidth="1"/>
    <col min="4875" max="4875" width="12.6640625" style="13" bestFit="1" customWidth="1"/>
    <col min="4876" max="4876" width="15.5546875" style="13" customWidth="1"/>
    <col min="4877" max="4877" width="16.109375" style="13" bestFit="1" customWidth="1"/>
    <col min="4878" max="4878" width="13.33203125" style="13" bestFit="1" customWidth="1"/>
    <col min="4879" max="4879" width="16.33203125" style="13" bestFit="1" customWidth="1"/>
    <col min="4880" max="4880" width="9.33203125" style="13" bestFit="1" customWidth="1"/>
    <col min="4881" max="4881" width="13" style="13" bestFit="1" customWidth="1"/>
    <col min="4882" max="4882" width="20.109375" style="13" bestFit="1" customWidth="1"/>
    <col min="4883" max="4883" width="50.33203125" style="13" bestFit="1" customWidth="1"/>
    <col min="4884" max="4884" width="16.109375" style="13" bestFit="1" customWidth="1"/>
    <col min="4885" max="4885" width="12.33203125" style="13" customWidth="1"/>
    <col min="4886" max="4886" width="18.88671875" style="13" bestFit="1" customWidth="1"/>
    <col min="4887" max="4887" width="16.6640625" style="13" customWidth="1"/>
    <col min="4888" max="4888" width="19" style="13" bestFit="1" customWidth="1"/>
    <col min="4889" max="4889" width="9.109375" style="13"/>
    <col min="4890" max="4890" width="18.88671875" style="13" bestFit="1" customWidth="1"/>
    <col min="4891" max="5120" width="9.109375" style="13"/>
    <col min="5121" max="5121" width="10.5546875" style="13" bestFit="1" customWidth="1"/>
    <col min="5122" max="5122" width="44.109375" style="13" customWidth="1"/>
    <col min="5123" max="5123" width="14.6640625" style="13" customWidth="1"/>
    <col min="5124" max="5124" width="23.6640625" style="13" bestFit="1" customWidth="1"/>
    <col min="5125" max="5125" width="11.88671875" style="13" customWidth="1"/>
    <col min="5126" max="5126" width="20.6640625" style="13" customWidth="1"/>
    <col min="5127" max="5127" width="15.6640625" style="13" customWidth="1"/>
    <col min="5128" max="5129" width="16.109375" style="13" bestFit="1" customWidth="1"/>
    <col min="5130" max="5130" width="13.6640625" style="13" customWidth="1"/>
    <col min="5131" max="5131" width="12.6640625" style="13" bestFit="1" customWidth="1"/>
    <col min="5132" max="5132" width="15.5546875" style="13" customWidth="1"/>
    <col min="5133" max="5133" width="16.109375" style="13" bestFit="1" customWidth="1"/>
    <col min="5134" max="5134" width="13.33203125" style="13" bestFit="1" customWidth="1"/>
    <col min="5135" max="5135" width="16.33203125" style="13" bestFit="1" customWidth="1"/>
    <col min="5136" max="5136" width="9.33203125" style="13" bestFit="1" customWidth="1"/>
    <col min="5137" max="5137" width="13" style="13" bestFit="1" customWidth="1"/>
    <col min="5138" max="5138" width="20.109375" style="13" bestFit="1" customWidth="1"/>
    <col min="5139" max="5139" width="50.33203125" style="13" bestFit="1" customWidth="1"/>
    <col min="5140" max="5140" width="16.109375" style="13" bestFit="1" customWidth="1"/>
    <col min="5141" max="5141" width="12.33203125" style="13" customWidth="1"/>
    <col min="5142" max="5142" width="18.88671875" style="13" bestFit="1" customWidth="1"/>
    <col min="5143" max="5143" width="16.6640625" style="13" customWidth="1"/>
    <col min="5144" max="5144" width="19" style="13" bestFit="1" customWidth="1"/>
    <col min="5145" max="5145" width="9.109375" style="13"/>
    <col min="5146" max="5146" width="18.88671875" style="13" bestFit="1" customWidth="1"/>
    <col min="5147" max="5376" width="9.109375" style="13"/>
    <col min="5377" max="5377" width="10.5546875" style="13" bestFit="1" customWidth="1"/>
    <col min="5378" max="5378" width="44.109375" style="13" customWidth="1"/>
    <col min="5379" max="5379" width="14.6640625" style="13" customWidth="1"/>
    <col min="5380" max="5380" width="23.6640625" style="13" bestFit="1" customWidth="1"/>
    <col min="5381" max="5381" width="11.88671875" style="13" customWidth="1"/>
    <col min="5382" max="5382" width="20.6640625" style="13" customWidth="1"/>
    <col min="5383" max="5383" width="15.6640625" style="13" customWidth="1"/>
    <col min="5384" max="5385" width="16.109375" style="13" bestFit="1" customWidth="1"/>
    <col min="5386" max="5386" width="13.6640625" style="13" customWidth="1"/>
    <col min="5387" max="5387" width="12.6640625" style="13" bestFit="1" customWidth="1"/>
    <col min="5388" max="5388" width="15.5546875" style="13" customWidth="1"/>
    <col min="5389" max="5389" width="16.109375" style="13" bestFit="1" customWidth="1"/>
    <col min="5390" max="5390" width="13.33203125" style="13" bestFit="1" customWidth="1"/>
    <col min="5391" max="5391" width="16.33203125" style="13" bestFit="1" customWidth="1"/>
    <col min="5392" max="5392" width="9.33203125" style="13" bestFit="1" customWidth="1"/>
    <col min="5393" max="5393" width="13" style="13" bestFit="1" customWidth="1"/>
    <col min="5394" max="5394" width="20.109375" style="13" bestFit="1" customWidth="1"/>
    <col min="5395" max="5395" width="50.33203125" style="13" bestFit="1" customWidth="1"/>
    <col min="5396" max="5396" width="16.109375" style="13" bestFit="1" customWidth="1"/>
    <col min="5397" max="5397" width="12.33203125" style="13" customWidth="1"/>
    <col min="5398" max="5398" width="18.88671875" style="13" bestFit="1" customWidth="1"/>
    <col min="5399" max="5399" width="16.6640625" style="13" customWidth="1"/>
    <col min="5400" max="5400" width="19" style="13" bestFit="1" customWidth="1"/>
    <col min="5401" max="5401" width="9.109375" style="13"/>
    <col min="5402" max="5402" width="18.88671875" style="13" bestFit="1" customWidth="1"/>
    <col min="5403" max="5632" width="9.109375" style="13"/>
    <col min="5633" max="5633" width="10.5546875" style="13" bestFit="1" customWidth="1"/>
    <col min="5634" max="5634" width="44.109375" style="13" customWidth="1"/>
    <col min="5635" max="5635" width="14.6640625" style="13" customWidth="1"/>
    <col min="5636" max="5636" width="23.6640625" style="13" bestFit="1" customWidth="1"/>
    <col min="5637" max="5637" width="11.88671875" style="13" customWidth="1"/>
    <col min="5638" max="5638" width="20.6640625" style="13" customWidth="1"/>
    <col min="5639" max="5639" width="15.6640625" style="13" customWidth="1"/>
    <col min="5640" max="5641" width="16.109375" style="13" bestFit="1" customWidth="1"/>
    <col min="5642" max="5642" width="13.6640625" style="13" customWidth="1"/>
    <col min="5643" max="5643" width="12.6640625" style="13" bestFit="1" customWidth="1"/>
    <col min="5644" max="5644" width="15.5546875" style="13" customWidth="1"/>
    <col min="5645" max="5645" width="16.109375" style="13" bestFit="1" customWidth="1"/>
    <col min="5646" max="5646" width="13.33203125" style="13" bestFit="1" customWidth="1"/>
    <col min="5647" max="5647" width="16.33203125" style="13" bestFit="1" customWidth="1"/>
    <col min="5648" max="5648" width="9.33203125" style="13" bestFit="1" customWidth="1"/>
    <col min="5649" max="5649" width="13" style="13" bestFit="1" customWidth="1"/>
    <col min="5650" max="5650" width="20.109375" style="13" bestFit="1" customWidth="1"/>
    <col min="5651" max="5651" width="50.33203125" style="13" bestFit="1" customWidth="1"/>
    <col min="5652" max="5652" width="16.109375" style="13" bestFit="1" customWidth="1"/>
    <col min="5653" max="5653" width="12.33203125" style="13" customWidth="1"/>
    <col min="5654" max="5654" width="18.88671875" style="13" bestFit="1" customWidth="1"/>
    <col min="5655" max="5655" width="16.6640625" style="13" customWidth="1"/>
    <col min="5656" max="5656" width="19" style="13" bestFit="1" customWidth="1"/>
    <col min="5657" max="5657" width="9.109375" style="13"/>
    <col min="5658" max="5658" width="18.88671875" style="13" bestFit="1" customWidth="1"/>
    <col min="5659" max="5888" width="9.109375" style="13"/>
    <col min="5889" max="5889" width="10.5546875" style="13" bestFit="1" customWidth="1"/>
    <col min="5890" max="5890" width="44.109375" style="13" customWidth="1"/>
    <col min="5891" max="5891" width="14.6640625" style="13" customWidth="1"/>
    <col min="5892" max="5892" width="23.6640625" style="13" bestFit="1" customWidth="1"/>
    <col min="5893" max="5893" width="11.88671875" style="13" customWidth="1"/>
    <col min="5894" max="5894" width="20.6640625" style="13" customWidth="1"/>
    <col min="5895" max="5895" width="15.6640625" style="13" customWidth="1"/>
    <col min="5896" max="5897" width="16.109375" style="13" bestFit="1" customWidth="1"/>
    <col min="5898" max="5898" width="13.6640625" style="13" customWidth="1"/>
    <col min="5899" max="5899" width="12.6640625" style="13" bestFit="1" customWidth="1"/>
    <col min="5900" max="5900" width="15.5546875" style="13" customWidth="1"/>
    <col min="5901" max="5901" width="16.109375" style="13" bestFit="1" customWidth="1"/>
    <col min="5902" max="5902" width="13.33203125" style="13" bestFit="1" customWidth="1"/>
    <col min="5903" max="5903" width="16.33203125" style="13" bestFit="1" customWidth="1"/>
    <col min="5904" max="5904" width="9.33203125" style="13" bestFit="1" customWidth="1"/>
    <col min="5905" max="5905" width="13" style="13" bestFit="1" customWidth="1"/>
    <col min="5906" max="5906" width="20.109375" style="13" bestFit="1" customWidth="1"/>
    <col min="5907" max="5907" width="50.33203125" style="13" bestFit="1" customWidth="1"/>
    <col min="5908" max="5908" width="16.109375" style="13" bestFit="1" customWidth="1"/>
    <col min="5909" max="5909" width="12.33203125" style="13" customWidth="1"/>
    <col min="5910" max="5910" width="18.88671875" style="13" bestFit="1" customWidth="1"/>
    <col min="5911" max="5911" width="16.6640625" style="13" customWidth="1"/>
    <col min="5912" max="5912" width="19" style="13" bestFit="1" customWidth="1"/>
    <col min="5913" max="5913" width="9.109375" style="13"/>
    <col min="5914" max="5914" width="18.88671875" style="13" bestFit="1" customWidth="1"/>
    <col min="5915" max="6144" width="9.109375" style="13"/>
    <col min="6145" max="6145" width="10.5546875" style="13" bestFit="1" customWidth="1"/>
    <col min="6146" max="6146" width="44.109375" style="13" customWidth="1"/>
    <col min="6147" max="6147" width="14.6640625" style="13" customWidth="1"/>
    <col min="6148" max="6148" width="23.6640625" style="13" bestFit="1" customWidth="1"/>
    <col min="6149" max="6149" width="11.88671875" style="13" customWidth="1"/>
    <col min="6150" max="6150" width="20.6640625" style="13" customWidth="1"/>
    <col min="6151" max="6151" width="15.6640625" style="13" customWidth="1"/>
    <col min="6152" max="6153" width="16.109375" style="13" bestFit="1" customWidth="1"/>
    <col min="6154" max="6154" width="13.6640625" style="13" customWidth="1"/>
    <col min="6155" max="6155" width="12.6640625" style="13" bestFit="1" customWidth="1"/>
    <col min="6156" max="6156" width="15.5546875" style="13" customWidth="1"/>
    <col min="6157" max="6157" width="16.109375" style="13" bestFit="1" customWidth="1"/>
    <col min="6158" max="6158" width="13.33203125" style="13" bestFit="1" customWidth="1"/>
    <col min="6159" max="6159" width="16.33203125" style="13" bestFit="1" customWidth="1"/>
    <col min="6160" max="6160" width="9.33203125" style="13" bestFit="1" customWidth="1"/>
    <col min="6161" max="6161" width="13" style="13" bestFit="1" customWidth="1"/>
    <col min="6162" max="6162" width="20.109375" style="13" bestFit="1" customWidth="1"/>
    <col min="6163" max="6163" width="50.33203125" style="13" bestFit="1" customWidth="1"/>
    <col min="6164" max="6164" width="16.109375" style="13" bestFit="1" customWidth="1"/>
    <col min="6165" max="6165" width="12.33203125" style="13" customWidth="1"/>
    <col min="6166" max="6166" width="18.88671875" style="13" bestFit="1" customWidth="1"/>
    <col min="6167" max="6167" width="16.6640625" style="13" customWidth="1"/>
    <col min="6168" max="6168" width="19" style="13" bestFit="1" customWidth="1"/>
    <col min="6169" max="6169" width="9.109375" style="13"/>
    <col min="6170" max="6170" width="18.88671875" style="13" bestFit="1" customWidth="1"/>
    <col min="6171" max="6400" width="9.109375" style="13"/>
    <col min="6401" max="6401" width="10.5546875" style="13" bestFit="1" customWidth="1"/>
    <col min="6402" max="6402" width="44.109375" style="13" customWidth="1"/>
    <col min="6403" max="6403" width="14.6640625" style="13" customWidth="1"/>
    <col min="6404" max="6404" width="23.6640625" style="13" bestFit="1" customWidth="1"/>
    <col min="6405" max="6405" width="11.88671875" style="13" customWidth="1"/>
    <col min="6406" max="6406" width="20.6640625" style="13" customWidth="1"/>
    <col min="6407" max="6407" width="15.6640625" style="13" customWidth="1"/>
    <col min="6408" max="6409" width="16.109375" style="13" bestFit="1" customWidth="1"/>
    <col min="6410" max="6410" width="13.6640625" style="13" customWidth="1"/>
    <col min="6411" max="6411" width="12.6640625" style="13" bestFit="1" customWidth="1"/>
    <col min="6412" max="6412" width="15.5546875" style="13" customWidth="1"/>
    <col min="6413" max="6413" width="16.109375" style="13" bestFit="1" customWidth="1"/>
    <col min="6414" max="6414" width="13.33203125" style="13" bestFit="1" customWidth="1"/>
    <col min="6415" max="6415" width="16.33203125" style="13" bestFit="1" customWidth="1"/>
    <col min="6416" max="6416" width="9.33203125" style="13" bestFit="1" customWidth="1"/>
    <col min="6417" max="6417" width="13" style="13" bestFit="1" customWidth="1"/>
    <col min="6418" max="6418" width="20.109375" style="13" bestFit="1" customWidth="1"/>
    <col min="6419" max="6419" width="50.33203125" style="13" bestFit="1" customWidth="1"/>
    <col min="6420" max="6420" width="16.109375" style="13" bestFit="1" customWidth="1"/>
    <col min="6421" max="6421" width="12.33203125" style="13" customWidth="1"/>
    <col min="6422" max="6422" width="18.88671875" style="13" bestFit="1" customWidth="1"/>
    <col min="6423" max="6423" width="16.6640625" style="13" customWidth="1"/>
    <col min="6424" max="6424" width="19" style="13" bestFit="1" customWidth="1"/>
    <col min="6425" max="6425" width="9.109375" style="13"/>
    <col min="6426" max="6426" width="18.88671875" style="13" bestFit="1" customWidth="1"/>
    <col min="6427" max="6656" width="9.109375" style="13"/>
    <col min="6657" max="6657" width="10.5546875" style="13" bestFit="1" customWidth="1"/>
    <col min="6658" max="6658" width="44.109375" style="13" customWidth="1"/>
    <col min="6659" max="6659" width="14.6640625" style="13" customWidth="1"/>
    <col min="6660" max="6660" width="23.6640625" style="13" bestFit="1" customWidth="1"/>
    <col min="6661" max="6661" width="11.88671875" style="13" customWidth="1"/>
    <col min="6662" max="6662" width="20.6640625" style="13" customWidth="1"/>
    <col min="6663" max="6663" width="15.6640625" style="13" customWidth="1"/>
    <col min="6664" max="6665" width="16.109375" style="13" bestFit="1" customWidth="1"/>
    <col min="6666" max="6666" width="13.6640625" style="13" customWidth="1"/>
    <col min="6667" max="6667" width="12.6640625" style="13" bestFit="1" customWidth="1"/>
    <col min="6668" max="6668" width="15.5546875" style="13" customWidth="1"/>
    <col min="6669" max="6669" width="16.109375" style="13" bestFit="1" customWidth="1"/>
    <col min="6670" max="6670" width="13.33203125" style="13" bestFit="1" customWidth="1"/>
    <col min="6671" max="6671" width="16.33203125" style="13" bestFit="1" customWidth="1"/>
    <col min="6672" max="6672" width="9.33203125" style="13" bestFit="1" customWidth="1"/>
    <col min="6673" max="6673" width="13" style="13" bestFit="1" customWidth="1"/>
    <col min="6674" max="6674" width="20.109375" style="13" bestFit="1" customWidth="1"/>
    <col min="6675" max="6675" width="50.33203125" style="13" bestFit="1" customWidth="1"/>
    <col min="6676" max="6676" width="16.109375" style="13" bestFit="1" customWidth="1"/>
    <col min="6677" max="6677" width="12.33203125" style="13" customWidth="1"/>
    <col min="6678" max="6678" width="18.88671875" style="13" bestFit="1" customWidth="1"/>
    <col min="6679" max="6679" width="16.6640625" style="13" customWidth="1"/>
    <col min="6680" max="6680" width="19" style="13" bestFit="1" customWidth="1"/>
    <col min="6681" max="6681" width="9.109375" style="13"/>
    <col min="6682" max="6682" width="18.88671875" style="13" bestFit="1" customWidth="1"/>
    <col min="6683" max="6912" width="9.109375" style="13"/>
    <col min="6913" max="6913" width="10.5546875" style="13" bestFit="1" customWidth="1"/>
    <col min="6914" max="6914" width="44.109375" style="13" customWidth="1"/>
    <col min="6915" max="6915" width="14.6640625" style="13" customWidth="1"/>
    <col min="6916" max="6916" width="23.6640625" style="13" bestFit="1" customWidth="1"/>
    <col min="6917" max="6917" width="11.88671875" style="13" customWidth="1"/>
    <col min="6918" max="6918" width="20.6640625" style="13" customWidth="1"/>
    <col min="6919" max="6919" width="15.6640625" style="13" customWidth="1"/>
    <col min="6920" max="6921" width="16.109375" style="13" bestFit="1" customWidth="1"/>
    <col min="6922" max="6922" width="13.6640625" style="13" customWidth="1"/>
    <col min="6923" max="6923" width="12.6640625" style="13" bestFit="1" customWidth="1"/>
    <col min="6924" max="6924" width="15.5546875" style="13" customWidth="1"/>
    <col min="6925" max="6925" width="16.109375" style="13" bestFit="1" customWidth="1"/>
    <col min="6926" max="6926" width="13.33203125" style="13" bestFit="1" customWidth="1"/>
    <col min="6927" max="6927" width="16.33203125" style="13" bestFit="1" customWidth="1"/>
    <col min="6928" max="6928" width="9.33203125" style="13" bestFit="1" customWidth="1"/>
    <col min="6929" max="6929" width="13" style="13" bestFit="1" customWidth="1"/>
    <col min="6930" max="6930" width="20.109375" style="13" bestFit="1" customWidth="1"/>
    <col min="6931" max="6931" width="50.33203125" style="13" bestFit="1" customWidth="1"/>
    <col min="6932" max="6932" width="16.109375" style="13" bestFit="1" customWidth="1"/>
    <col min="6933" max="6933" width="12.33203125" style="13" customWidth="1"/>
    <col min="6934" max="6934" width="18.88671875" style="13" bestFit="1" customWidth="1"/>
    <col min="6935" max="6935" width="16.6640625" style="13" customWidth="1"/>
    <col min="6936" max="6936" width="19" style="13" bestFit="1" customWidth="1"/>
    <col min="6937" max="6937" width="9.109375" style="13"/>
    <col min="6938" max="6938" width="18.88671875" style="13" bestFit="1" customWidth="1"/>
    <col min="6939" max="7168" width="9.109375" style="13"/>
    <col min="7169" max="7169" width="10.5546875" style="13" bestFit="1" customWidth="1"/>
    <col min="7170" max="7170" width="44.109375" style="13" customWidth="1"/>
    <col min="7171" max="7171" width="14.6640625" style="13" customWidth="1"/>
    <col min="7172" max="7172" width="23.6640625" style="13" bestFit="1" customWidth="1"/>
    <col min="7173" max="7173" width="11.88671875" style="13" customWidth="1"/>
    <col min="7174" max="7174" width="20.6640625" style="13" customWidth="1"/>
    <col min="7175" max="7175" width="15.6640625" style="13" customWidth="1"/>
    <col min="7176" max="7177" width="16.109375" style="13" bestFit="1" customWidth="1"/>
    <col min="7178" max="7178" width="13.6640625" style="13" customWidth="1"/>
    <col min="7179" max="7179" width="12.6640625" style="13" bestFit="1" customWidth="1"/>
    <col min="7180" max="7180" width="15.5546875" style="13" customWidth="1"/>
    <col min="7181" max="7181" width="16.109375" style="13" bestFit="1" customWidth="1"/>
    <col min="7182" max="7182" width="13.33203125" style="13" bestFit="1" customWidth="1"/>
    <col min="7183" max="7183" width="16.33203125" style="13" bestFit="1" customWidth="1"/>
    <col min="7184" max="7184" width="9.33203125" style="13" bestFit="1" customWidth="1"/>
    <col min="7185" max="7185" width="13" style="13" bestFit="1" customWidth="1"/>
    <col min="7186" max="7186" width="20.109375" style="13" bestFit="1" customWidth="1"/>
    <col min="7187" max="7187" width="50.33203125" style="13" bestFit="1" customWidth="1"/>
    <col min="7188" max="7188" width="16.109375" style="13" bestFit="1" customWidth="1"/>
    <col min="7189" max="7189" width="12.33203125" style="13" customWidth="1"/>
    <col min="7190" max="7190" width="18.88671875" style="13" bestFit="1" customWidth="1"/>
    <col min="7191" max="7191" width="16.6640625" style="13" customWidth="1"/>
    <col min="7192" max="7192" width="19" style="13" bestFit="1" customWidth="1"/>
    <col min="7193" max="7193" width="9.109375" style="13"/>
    <col min="7194" max="7194" width="18.88671875" style="13" bestFit="1" customWidth="1"/>
    <col min="7195" max="7424" width="9.109375" style="13"/>
    <col min="7425" max="7425" width="10.5546875" style="13" bestFit="1" customWidth="1"/>
    <col min="7426" max="7426" width="44.109375" style="13" customWidth="1"/>
    <col min="7427" max="7427" width="14.6640625" style="13" customWidth="1"/>
    <col min="7428" max="7428" width="23.6640625" style="13" bestFit="1" customWidth="1"/>
    <col min="7429" max="7429" width="11.88671875" style="13" customWidth="1"/>
    <col min="7430" max="7430" width="20.6640625" style="13" customWidth="1"/>
    <col min="7431" max="7431" width="15.6640625" style="13" customWidth="1"/>
    <col min="7432" max="7433" width="16.109375" style="13" bestFit="1" customWidth="1"/>
    <col min="7434" max="7434" width="13.6640625" style="13" customWidth="1"/>
    <col min="7435" max="7435" width="12.6640625" style="13" bestFit="1" customWidth="1"/>
    <col min="7436" max="7436" width="15.5546875" style="13" customWidth="1"/>
    <col min="7437" max="7437" width="16.109375" style="13" bestFit="1" customWidth="1"/>
    <col min="7438" max="7438" width="13.33203125" style="13" bestFit="1" customWidth="1"/>
    <col min="7439" max="7439" width="16.33203125" style="13" bestFit="1" customWidth="1"/>
    <col min="7440" max="7440" width="9.33203125" style="13" bestFit="1" customWidth="1"/>
    <col min="7441" max="7441" width="13" style="13" bestFit="1" customWidth="1"/>
    <col min="7442" max="7442" width="20.109375" style="13" bestFit="1" customWidth="1"/>
    <col min="7443" max="7443" width="50.33203125" style="13" bestFit="1" customWidth="1"/>
    <col min="7444" max="7444" width="16.109375" style="13" bestFit="1" customWidth="1"/>
    <col min="7445" max="7445" width="12.33203125" style="13" customWidth="1"/>
    <col min="7446" max="7446" width="18.88671875" style="13" bestFit="1" customWidth="1"/>
    <col min="7447" max="7447" width="16.6640625" style="13" customWidth="1"/>
    <col min="7448" max="7448" width="19" style="13" bestFit="1" customWidth="1"/>
    <col min="7449" max="7449" width="9.109375" style="13"/>
    <col min="7450" max="7450" width="18.88671875" style="13" bestFit="1" customWidth="1"/>
    <col min="7451" max="7680" width="9.109375" style="13"/>
    <col min="7681" max="7681" width="10.5546875" style="13" bestFit="1" customWidth="1"/>
    <col min="7682" max="7682" width="44.109375" style="13" customWidth="1"/>
    <col min="7683" max="7683" width="14.6640625" style="13" customWidth="1"/>
    <col min="7684" max="7684" width="23.6640625" style="13" bestFit="1" customWidth="1"/>
    <col min="7685" max="7685" width="11.88671875" style="13" customWidth="1"/>
    <col min="7686" max="7686" width="20.6640625" style="13" customWidth="1"/>
    <col min="7687" max="7687" width="15.6640625" style="13" customWidth="1"/>
    <col min="7688" max="7689" width="16.109375" style="13" bestFit="1" customWidth="1"/>
    <col min="7690" max="7690" width="13.6640625" style="13" customWidth="1"/>
    <col min="7691" max="7691" width="12.6640625" style="13" bestFit="1" customWidth="1"/>
    <col min="7692" max="7692" width="15.5546875" style="13" customWidth="1"/>
    <col min="7693" max="7693" width="16.109375" style="13" bestFit="1" customWidth="1"/>
    <col min="7694" max="7694" width="13.33203125" style="13" bestFit="1" customWidth="1"/>
    <col min="7695" max="7695" width="16.33203125" style="13" bestFit="1" customWidth="1"/>
    <col min="7696" max="7696" width="9.33203125" style="13" bestFit="1" customWidth="1"/>
    <col min="7697" max="7697" width="13" style="13" bestFit="1" customWidth="1"/>
    <col min="7698" max="7698" width="20.109375" style="13" bestFit="1" customWidth="1"/>
    <col min="7699" max="7699" width="50.33203125" style="13" bestFit="1" customWidth="1"/>
    <col min="7700" max="7700" width="16.109375" style="13" bestFit="1" customWidth="1"/>
    <col min="7701" max="7701" width="12.33203125" style="13" customWidth="1"/>
    <col min="7702" max="7702" width="18.88671875" style="13" bestFit="1" customWidth="1"/>
    <col min="7703" max="7703" width="16.6640625" style="13" customWidth="1"/>
    <col min="7704" max="7704" width="19" style="13" bestFit="1" customWidth="1"/>
    <col min="7705" max="7705" width="9.109375" style="13"/>
    <col min="7706" max="7706" width="18.88671875" style="13" bestFit="1" customWidth="1"/>
    <col min="7707" max="7936" width="9.109375" style="13"/>
    <col min="7937" max="7937" width="10.5546875" style="13" bestFit="1" customWidth="1"/>
    <col min="7938" max="7938" width="44.109375" style="13" customWidth="1"/>
    <col min="7939" max="7939" width="14.6640625" style="13" customWidth="1"/>
    <col min="7940" max="7940" width="23.6640625" style="13" bestFit="1" customWidth="1"/>
    <col min="7941" max="7941" width="11.88671875" style="13" customWidth="1"/>
    <col min="7942" max="7942" width="20.6640625" style="13" customWidth="1"/>
    <col min="7943" max="7943" width="15.6640625" style="13" customWidth="1"/>
    <col min="7944" max="7945" width="16.109375" style="13" bestFit="1" customWidth="1"/>
    <col min="7946" max="7946" width="13.6640625" style="13" customWidth="1"/>
    <col min="7947" max="7947" width="12.6640625" style="13" bestFit="1" customWidth="1"/>
    <col min="7948" max="7948" width="15.5546875" style="13" customWidth="1"/>
    <col min="7949" max="7949" width="16.109375" style="13" bestFit="1" customWidth="1"/>
    <col min="7950" max="7950" width="13.33203125" style="13" bestFit="1" customWidth="1"/>
    <col min="7951" max="7951" width="16.33203125" style="13" bestFit="1" customWidth="1"/>
    <col min="7952" max="7952" width="9.33203125" style="13" bestFit="1" customWidth="1"/>
    <col min="7953" max="7953" width="13" style="13" bestFit="1" customWidth="1"/>
    <col min="7954" max="7954" width="20.109375" style="13" bestFit="1" customWidth="1"/>
    <col min="7955" max="7955" width="50.33203125" style="13" bestFit="1" customWidth="1"/>
    <col min="7956" max="7956" width="16.109375" style="13" bestFit="1" customWidth="1"/>
    <col min="7957" max="7957" width="12.33203125" style="13" customWidth="1"/>
    <col min="7958" max="7958" width="18.88671875" style="13" bestFit="1" customWidth="1"/>
    <col min="7959" max="7959" width="16.6640625" style="13" customWidth="1"/>
    <col min="7960" max="7960" width="19" style="13" bestFit="1" customWidth="1"/>
    <col min="7961" max="7961" width="9.109375" style="13"/>
    <col min="7962" max="7962" width="18.88671875" style="13" bestFit="1" customWidth="1"/>
    <col min="7963" max="8192" width="9.109375" style="13"/>
    <col min="8193" max="8193" width="10.5546875" style="13" bestFit="1" customWidth="1"/>
    <col min="8194" max="8194" width="44.109375" style="13" customWidth="1"/>
    <col min="8195" max="8195" width="14.6640625" style="13" customWidth="1"/>
    <col min="8196" max="8196" width="23.6640625" style="13" bestFit="1" customWidth="1"/>
    <col min="8197" max="8197" width="11.88671875" style="13" customWidth="1"/>
    <col min="8198" max="8198" width="20.6640625" style="13" customWidth="1"/>
    <col min="8199" max="8199" width="15.6640625" style="13" customWidth="1"/>
    <col min="8200" max="8201" width="16.109375" style="13" bestFit="1" customWidth="1"/>
    <col min="8202" max="8202" width="13.6640625" style="13" customWidth="1"/>
    <col min="8203" max="8203" width="12.6640625" style="13" bestFit="1" customWidth="1"/>
    <col min="8204" max="8204" width="15.5546875" style="13" customWidth="1"/>
    <col min="8205" max="8205" width="16.109375" style="13" bestFit="1" customWidth="1"/>
    <col min="8206" max="8206" width="13.33203125" style="13" bestFit="1" customWidth="1"/>
    <col min="8207" max="8207" width="16.33203125" style="13" bestFit="1" customWidth="1"/>
    <col min="8208" max="8208" width="9.33203125" style="13" bestFit="1" customWidth="1"/>
    <col min="8209" max="8209" width="13" style="13" bestFit="1" customWidth="1"/>
    <col min="8210" max="8210" width="20.109375" style="13" bestFit="1" customWidth="1"/>
    <col min="8211" max="8211" width="50.33203125" style="13" bestFit="1" customWidth="1"/>
    <col min="8212" max="8212" width="16.109375" style="13" bestFit="1" customWidth="1"/>
    <col min="8213" max="8213" width="12.33203125" style="13" customWidth="1"/>
    <col min="8214" max="8214" width="18.88671875" style="13" bestFit="1" customWidth="1"/>
    <col min="8215" max="8215" width="16.6640625" style="13" customWidth="1"/>
    <col min="8216" max="8216" width="19" style="13" bestFit="1" customWidth="1"/>
    <col min="8217" max="8217" width="9.109375" style="13"/>
    <col min="8218" max="8218" width="18.88671875" style="13" bestFit="1" customWidth="1"/>
    <col min="8219" max="8448" width="9.109375" style="13"/>
    <col min="8449" max="8449" width="10.5546875" style="13" bestFit="1" customWidth="1"/>
    <col min="8450" max="8450" width="44.109375" style="13" customWidth="1"/>
    <col min="8451" max="8451" width="14.6640625" style="13" customWidth="1"/>
    <col min="8452" max="8452" width="23.6640625" style="13" bestFit="1" customWidth="1"/>
    <col min="8453" max="8453" width="11.88671875" style="13" customWidth="1"/>
    <col min="8454" max="8454" width="20.6640625" style="13" customWidth="1"/>
    <col min="8455" max="8455" width="15.6640625" style="13" customWidth="1"/>
    <col min="8456" max="8457" width="16.109375" style="13" bestFit="1" customWidth="1"/>
    <col min="8458" max="8458" width="13.6640625" style="13" customWidth="1"/>
    <col min="8459" max="8459" width="12.6640625" style="13" bestFit="1" customWidth="1"/>
    <col min="8460" max="8460" width="15.5546875" style="13" customWidth="1"/>
    <col min="8461" max="8461" width="16.109375" style="13" bestFit="1" customWidth="1"/>
    <col min="8462" max="8462" width="13.33203125" style="13" bestFit="1" customWidth="1"/>
    <col min="8463" max="8463" width="16.33203125" style="13" bestFit="1" customWidth="1"/>
    <col min="8464" max="8464" width="9.33203125" style="13" bestFit="1" customWidth="1"/>
    <col min="8465" max="8465" width="13" style="13" bestFit="1" customWidth="1"/>
    <col min="8466" max="8466" width="20.109375" style="13" bestFit="1" customWidth="1"/>
    <col min="8467" max="8467" width="50.33203125" style="13" bestFit="1" customWidth="1"/>
    <col min="8468" max="8468" width="16.109375" style="13" bestFit="1" customWidth="1"/>
    <col min="8469" max="8469" width="12.33203125" style="13" customWidth="1"/>
    <col min="8470" max="8470" width="18.88671875" style="13" bestFit="1" customWidth="1"/>
    <col min="8471" max="8471" width="16.6640625" style="13" customWidth="1"/>
    <col min="8472" max="8472" width="19" style="13" bestFit="1" customWidth="1"/>
    <col min="8473" max="8473" width="9.109375" style="13"/>
    <col min="8474" max="8474" width="18.88671875" style="13" bestFit="1" customWidth="1"/>
    <col min="8475" max="8704" width="9.109375" style="13"/>
    <col min="8705" max="8705" width="10.5546875" style="13" bestFit="1" customWidth="1"/>
    <col min="8706" max="8706" width="44.109375" style="13" customWidth="1"/>
    <col min="8707" max="8707" width="14.6640625" style="13" customWidth="1"/>
    <col min="8708" max="8708" width="23.6640625" style="13" bestFit="1" customWidth="1"/>
    <col min="8709" max="8709" width="11.88671875" style="13" customWidth="1"/>
    <col min="8710" max="8710" width="20.6640625" style="13" customWidth="1"/>
    <col min="8711" max="8711" width="15.6640625" style="13" customWidth="1"/>
    <col min="8712" max="8713" width="16.109375" style="13" bestFit="1" customWidth="1"/>
    <col min="8714" max="8714" width="13.6640625" style="13" customWidth="1"/>
    <col min="8715" max="8715" width="12.6640625" style="13" bestFit="1" customWidth="1"/>
    <col min="8716" max="8716" width="15.5546875" style="13" customWidth="1"/>
    <col min="8717" max="8717" width="16.109375" style="13" bestFit="1" customWidth="1"/>
    <col min="8718" max="8718" width="13.33203125" style="13" bestFit="1" customWidth="1"/>
    <col min="8719" max="8719" width="16.33203125" style="13" bestFit="1" customWidth="1"/>
    <col min="8720" max="8720" width="9.33203125" style="13" bestFit="1" customWidth="1"/>
    <col min="8721" max="8721" width="13" style="13" bestFit="1" customWidth="1"/>
    <col min="8722" max="8722" width="20.109375" style="13" bestFit="1" customWidth="1"/>
    <col min="8723" max="8723" width="50.33203125" style="13" bestFit="1" customWidth="1"/>
    <col min="8724" max="8724" width="16.109375" style="13" bestFit="1" customWidth="1"/>
    <col min="8725" max="8725" width="12.33203125" style="13" customWidth="1"/>
    <col min="8726" max="8726" width="18.88671875" style="13" bestFit="1" customWidth="1"/>
    <col min="8727" max="8727" width="16.6640625" style="13" customWidth="1"/>
    <col min="8728" max="8728" width="19" style="13" bestFit="1" customWidth="1"/>
    <col min="8729" max="8729" width="9.109375" style="13"/>
    <col min="8730" max="8730" width="18.88671875" style="13" bestFit="1" customWidth="1"/>
    <col min="8731" max="8960" width="9.109375" style="13"/>
    <col min="8961" max="8961" width="10.5546875" style="13" bestFit="1" customWidth="1"/>
    <col min="8962" max="8962" width="44.109375" style="13" customWidth="1"/>
    <col min="8963" max="8963" width="14.6640625" style="13" customWidth="1"/>
    <col min="8964" max="8964" width="23.6640625" style="13" bestFit="1" customWidth="1"/>
    <col min="8965" max="8965" width="11.88671875" style="13" customWidth="1"/>
    <col min="8966" max="8966" width="20.6640625" style="13" customWidth="1"/>
    <col min="8967" max="8967" width="15.6640625" style="13" customWidth="1"/>
    <col min="8968" max="8969" width="16.109375" style="13" bestFit="1" customWidth="1"/>
    <col min="8970" max="8970" width="13.6640625" style="13" customWidth="1"/>
    <col min="8971" max="8971" width="12.6640625" style="13" bestFit="1" customWidth="1"/>
    <col min="8972" max="8972" width="15.5546875" style="13" customWidth="1"/>
    <col min="8973" max="8973" width="16.109375" style="13" bestFit="1" customWidth="1"/>
    <col min="8974" max="8974" width="13.33203125" style="13" bestFit="1" customWidth="1"/>
    <col min="8975" max="8975" width="16.33203125" style="13" bestFit="1" customWidth="1"/>
    <col min="8976" max="8976" width="9.33203125" style="13" bestFit="1" customWidth="1"/>
    <col min="8977" max="8977" width="13" style="13" bestFit="1" customWidth="1"/>
    <col min="8978" max="8978" width="20.109375" style="13" bestFit="1" customWidth="1"/>
    <col min="8979" max="8979" width="50.33203125" style="13" bestFit="1" customWidth="1"/>
    <col min="8980" max="8980" width="16.109375" style="13" bestFit="1" customWidth="1"/>
    <col min="8981" max="8981" width="12.33203125" style="13" customWidth="1"/>
    <col min="8982" max="8982" width="18.88671875" style="13" bestFit="1" customWidth="1"/>
    <col min="8983" max="8983" width="16.6640625" style="13" customWidth="1"/>
    <col min="8984" max="8984" width="19" style="13" bestFit="1" customWidth="1"/>
    <col min="8985" max="8985" width="9.109375" style="13"/>
    <col min="8986" max="8986" width="18.88671875" style="13" bestFit="1" customWidth="1"/>
    <col min="8987" max="9216" width="9.109375" style="13"/>
    <col min="9217" max="9217" width="10.5546875" style="13" bestFit="1" customWidth="1"/>
    <col min="9218" max="9218" width="44.109375" style="13" customWidth="1"/>
    <col min="9219" max="9219" width="14.6640625" style="13" customWidth="1"/>
    <col min="9220" max="9220" width="23.6640625" style="13" bestFit="1" customWidth="1"/>
    <col min="9221" max="9221" width="11.88671875" style="13" customWidth="1"/>
    <col min="9222" max="9222" width="20.6640625" style="13" customWidth="1"/>
    <col min="9223" max="9223" width="15.6640625" style="13" customWidth="1"/>
    <col min="9224" max="9225" width="16.109375" style="13" bestFit="1" customWidth="1"/>
    <col min="9226" max="9226" width="13.6640625" style="13" customWidth="1"/>
    <col min="9227" max="9227" width="12.6640625" style="13" bestFit="1" customWidth="1"/>
    <col min="9228" max="9228" width="15.5546875" style="13" customWidth="1"/>
    <col min="9229" max="9229" width="16.109375" style="13" bestFit="1" customWidth="1"/>
    <col min="9230" max="9230" width="13.33203125" style="13" bestFit="1" customWidth="1"/>
    <col min="9231" max="9231" width="16.33203125" style="13" bestFit="1" customWidth="1"/>
    <col min="9232" max="9232" width="9.33203125" style="13" bestFit="1" customWidth="1"/>
    <col min="9233" max="9233" width="13" style="13" bestFit="1" customWidth="1"/>
    <col min="9234" max="9234" width="20.109375" style="13" bestFit="1" customWidth="1"/>
    <col min="9235" max="9235" width="50.33203125" style="13" bestFit="1" customWidth="1"/>
    <col min="9236" max="9236" width="16.109375" style="13" bestFit="1" customWidth="1"/>
    <col min="9237" max="9237" width="12.33203125" style="13" customWidth="1"/>
    <col min="9238" max="9238" width="18.88671875" style="13" bestFit="1" customWidth="1"/>
    <col min="9239" max="9239" width="16.6640625" style="13" customWidth="1"/>
    <col min="9240" max="9240" width="19" style="13" bestFit="1" customWidth="1"/>
    <col min="9241" max="9241" width="9.109375" style="13"/>
    <col min="9242" max="9242" width="18.88671875" style="13" bestFit="1" customWidth="1"/>
    <col min="9243" max="9472" width="9.109375" style="13"/>
    <col min="9473" max="9473" width="10.5546875" style="13" bestFit="1" customWidth="1"/>
    <col min="9474" max="9474" width="44.109375" style="13" customWidth="1"/>
    <col min="9475" max="9475" width="14.6640625" style="13" customWidth="1"/>
    <col min="9476" max="9476" width="23.6640625" style="13" bestFit="1" customWidth="1"/>
    <col min="9477" max="9477" width="11.88671875" style="13" customWidth="1"/>
    <col min="9478" max="9478" width="20.6640625" style="13" customWidth="1"/>
    <col min="9479" max="9479" width="15.6640625" style="13" customWidth="1"/>
    <col min="9480" max="9481" width="16.109375" style="13" bestFit="1" customWidth="1"/>
    <col min="9482" max="9482" width="13.6640625" style="13" customWidth="1"/>
    <col min="9483" max="9483" width="12.6640625" style="13" bestFit="1" customWidth="1"/>
    <col min="9484" max="9484" width="15.5546875" style="13" customWidth="1"/>
    <col min="9485" max="9485" width="16.109375" style="13" bestFit="1" customWidth="1"/>
    <col min="9486" max="9486" width="13.33203125" style="13" bestFit="1" customWidth="1"/>
    <col min="9487" max="9487" width="16.33203125" style="13" bestFit="1" customWidth="1"/>
    <col min="9488" max="9488" width="9.33203125" style="13" bestFit="1" customWidth="1"/>
    <col min="9489" max="9489" width="13" style="13" bestFit="1" customWidth="1"/>
    <col min="9490" max="9490" width="20.109375" style="13" bestFit="1" customWidth="1"/>
    <col min="9491" max="9491" width="50.33203125" style="13" bestFit="1" customWidth="1"/>
    <col min="9492" max="9492" width="16.109375" style="13" bestFit="1" customWidth="1"/>
    <col min="9493" max="9493" width="12.33203125" style="13" customWidth="1"/>
    <col min="9494" max="9494" width="18.88671875" style="13" bestFit="1" customWidth="1"/>
    <col min="9495" max="9495" width="16.6640625" style="13" customWidth="1"/>
    <col min="9496" max="9496" width="19" style="13" bestFit="1" customWidth="1"/>
    <col min="9497" max="9497" width="9.109375" style="13"/>
    <col min="9498" max="9498" width="18.88671875" style="13" bestFit="1" customWidth="1"/>
    <col min="9499" max="9728" width="9.109375" style="13"/>
    <col min="9729" max="9729" width="10.5546875" style="13" bestFit="1" customWidth="1"/>
    <col min="9730" max="9730" width="44.109375" style="13" customWidth="1"/>
    <col min="9731" max="9731" width="14.6640625" style="13" customWidth="1"/>
    <col min="9732" max="9732" width="23.6640625" style="13" bestFit="1" customWidth="1"/>
    <col min="9733" max="9733" width="11.88671875" style="13" customWidth="1"/>
    <col min="9734" max="9734" width="20.6640625" style="13" customWidth="1"/>
    <col min="9735" max="9735" width="15.6640625" style="13" customWidth="1"/>
    <col min="9736" max="9737" width="16.109375" style="13" bestFit="1" customWidth="1"/>
    <col min="9738" max="9738" width="13.6640625" style="13" customWidth="1"/>
    <col min="9739" max="9739" width="12.6640625" style="13" bestFit="1" customWidth="1"/>
    <col min="9740" max="9740" width="15.5546875" style="13" customWidth="1"/>
    <col min="9741" max="9741" width="16.109375" style="13" bestFit="1" customWidth="1"/>
    <col min="9742" max="9742" width="13.33203125" style="13" bestFit="1" customWidth="1"/>
    <col min="9743" max="9743" width="16.33203125" style="13" bestFit="1" customWidth="1"/>
    <col min="9744" max="9744" width="9.33203125" style="13" bestFit="1" customWidth="1"/>
    <col min="9745" max="9745" width="13" style="13" bestFit="1" customWidth="1"/>
    <col min="9746" max="9746" width="20.109375" style="13" bestFit="1" customWidth="1"/>
    <col min="9747" max="9747" width="50.33203125" style="13" bestFit="1" customWidth="1"/>
    <col min="9748" max="9748" width="16.109375" style="13" bestFit="1" customWidth="1"/>
    <col min="9749" max="9749" width="12.33203125" style="13" customWidth="1"/>
    <col min="9750" max="9750" width="18.88671875" style="13" bestFit="1" customWidth="1"/>
    <col min="9751" max="9751" width="16.6640625" style="13" customWidth="1"/>
    <col min="9752" max="9752" width="19" style="13" bestFit="1" customWidth="1"/>
    <col min="9753" max="9753" width="9.109375" style="13"/>
    <col min="9754" max="9754" width="18.88671875" style="13" bestFit="1" customWidth="1"/>
    <col min="9755" max="9984" width="9.109375" style="13"/>
    <col min="9985" max="9985" width="10.5546875" style="13" bestFit="1" customWidth="1"/>
    <col min="9986" max="9986" width="44.109375" style="13" customWidth="1"/>
    <col min="9987" max="9987" width="14.6640625" style="13" customWidth="1"/>
    <col min="9988" max="9988" width="23.6640625" style="13" bestFit="1" customWidth="1"/>
    <col min="9989" max="9989" width="11.88671875" style="13" customWidth="1"/>
    <col min="9990" max="9990" width="20.6640625" style="13" customWidth="1"/>
    <col min="9991" max="9991" width="15.6640625" style="13" customWidth="1"/>
    <col min="9992" max="9993" width="16.109375" style="13" bestFit="1" customWidth="1"/>
    <col min="9994" max="9994" width="13.6640625" style="13" customWidth="1"/>
    <col min="9995" max="9995" width="12.6640625" style="13" bestFit="1" customWidth="1"/>
    <col min="9996" max="9996" width="15.5546875" style="13" customWidth="1"/>
    <col min="9997" max="9997" width="16.109375" style="13" bestFit="1" customWidth="1"/>
    <col min="9998" max="9998" width="13.33203125" style="13" bestFit="1" customWidth="1"/>
    <col min="9999" max="9999" width="16.33203125" style="13" bestFit="1" customWidth="1"/>
    <col min="10000" max="10000" width="9.33203125" style="13" bestFit="1" customWidth="1"/>
    <col min="10001" max="10001" width="13" style="13" bestFit="1" customWidth="1"/>
    <col min="10002" max="10002" width="20.109375" style="13" bestFit="1" customWidth="1"/>
    <col min="10003" max="10003" width="50.33203125" style="13" bestFit="1" customWidth="1"/>
    <col min="10004" max="10004" width="16.109375" style="13" bestFit="1" customWidth="1"/>
    <col min="10005" max="10005" width="12.33203125" style="13" customWidth="1"/>
    <col min="10006" max="10006" width="18.88671875" style="13" bestFit="1" customWidth="1"/>
    <col min="10007" max="10007" width="16.6640625" style="13" customWidth="1"/>
    <col min="10008" max="10008" width="19" style="13" bestFit="1" customWidth="1"/>
    <col min="10009" max="10009" width="9.109375" style="13"/>
    <col min="10010" max="10010" width="18.88671875" style="13" bestFit="1" customWidth="1"/>
    <col min="10011" max="10240" width="9.109375" style="13"/>
    <col min="10241" max="10241" width="10.5546875" style="13" bestFit="1" customWidth="1"/>
    <col min="10242" max="10242" width="44.109375" style="13" customWidth="1"/>
    <col min="10243" max="10243" width="14.6640625" style="13" customWidth="1"/>
    <col min="10244" max="10244" width="23.6640625" style="13" bestFit="1" customWidth="1"/>
    <col min="10245" max="10245" width="11.88671875" style="13" customWidth="1"/>
    <col min="10246" max="10246" width="20.6640625" style="13" customWidth="1"/>
    <col min="10247" max="10247" width="15.6640625" style="13" customWidth="1"/>
    <col min="10248" max="10249" width="16.109375" style="13" bestFit="1" customWidth="1"/>
    <col min="10250" max="10250" width="13.6640625" style="13" customWidth="1"/>
    <col min="10251" max="10251" width="12.6640625" style="13" bestFit="1" customWidth="1"/>
    <col min="10252" max="10252" width="15.5546875" style="13" customWidth="1"/>
    <col min="10253" max="10253" width="16.109375" style="13" bestFit="1" customWidth="1"/>
    <col min="10254" max="10254" width="13.33203125" style="13" bestFit="1" customWidth="1"/>
    <col min="10255" max="10255" width="16.33203125" style="13" bestFit="1" customWidth="1"/>
    <col min="10256" max="10256" width="9.33203125" style="13" bestFit="1" customWidth="1"/>
    <col min="10257" max="10257" width="13" style="13" bestFit="1" customWidth="1"/>
    <col min="10258" max="10258" width="20.109375" style="13" bestFit="1" customWidth="1"/>
    <col min="10259" max="10259" width="50.33203125" style="13" bestFit="1" customWidth="1"/>
    <col min="10260" max="10260" width="16.109375" style="13" bestFit="1" customWidth="1"/>
    <col min="10261" max="10261" width="12.33203125" style="13" customWidth="1"/>
    <col min="10262" max="10262" width="18.88671875" style="13" bestFit="1" customWidth="1"/>
    <col min="10263" max="10263" width="16.6640625" style="13" customWidth="1"/>
    <col min="10264" max="10264" width="19" style="13" bestFit="1" customWidth="1"/>
    <col min="10265" max="10265" width="9.109375" style="13"/>
    <col min="10266" max="10266" width="18.88671875" style="13" bestFit="1" customWidth="1"/>
    <col min="10267" max="10496" width="9.109375" style="13"/>
    <col min="10497" max="10497" width="10.5546875" style="13" bestFit="1" customWidth="1"/>
    <col min="10498" max="10498" width="44.109375" style="13" customWidth="1"/>
    <col min="10499" max="10499" width="14.6640625" style="13" customWidth="1"/>
    <col min="10500" max="10500" width="23.6640625" style="13" bestFit="1" customWidth="1"/>
    <col min="10501" max="10501" width="11.88671875" style="13" customWidth="1"/>
    <col min="10502" max="10502" width="20.6640625" style="13" customWidth="1"/>
    <col min="10503" max="10503" width="15.6640625" style="13" customWidth="1"/>
    <col min="10504" max="10505" width="16.109375" style="13" bestFit="1" customWidth="1"/>
    <col min="10506" max="10506" width="13.6640625" style="13" customWidth="1"/>
    <col min="10507" max="10507" width="12.6640625" style="13" bestFit="1" customWidth="1"/>
    <col min="10508" max="10508" width="15.5546875" style="13" customWidth="1"/>
    <col min="10509" max="10509" width="16.109375" style="13" bestFit="1" customWidth="1"/>
    <col min="10510" max="10510" width="13.33203125" style="13" bestFit="1" customWidth="1"/>
    <col min="10511" max="10511" width="16.33203125" style="13" bestFit="1" customWidth="1"/>
    <col min="10512" max="10512" width="9.33203125" style="13" bestFit="1" customWidth="1"/>
    <col min="10513" max="10513" width="13" style="13" bestFit="1" customWidth="1"/>
    <col min="10514" max="10514" width="20.109375" style="13" bestFit="1" customWidth="1"/>
    <col min="10515" max="10515" width="50.33203125" style="13" bestFit="1" customWidth="1"/>
    <col min="10516" max="10516" width="16.109375" style="13" bestFit="1" customWidth="1"/>
    <col min="10517" max="10517" width="12.33203125" style="13" customWidth="1"/>
    <col min="10518" max="10518" width="18.88671875" style="13" bestFit="1" customWidth="1"/>
    <col min="10519" max="10519" width="16.6640625" style="13" customWidth="1"/>
    <col min="10520" max="10520" width="19" style="13" bestFit="1" customWidth="1"/>
    <col min="10521" max="10521" width="9.109375" style="13"/>
    <col min="10522" max="10522" width="18.88671875" style="13" bestFit="1" customWidth="1"/>
    <col min="10523" max="10752" width="9.109375" style="13"/>
    <col min="10753" max="10753" width="10.5546875" style="13" bestFit="1" customWidth="1"/>
    <col min="10754" max="10754" width="44.109375" style="13" customWidth="1"/>
    <col min="10755" max="10755" width="14.6640625" style="13" customWidth="1"/>
    <col min="10756" max="10756" width="23.6640625" style="13" bestFit="1" customWidth="1"/>
    <col min="10757" max="10757" width="11.88671875" style="13" customWidth="1"/>
    <col min="10758" max="10758" width="20.6640625" style="13" customWidth="1"/>
    <col min="10759" max="10759" width="15.6640625" style="13" customWidth="1"/>
    <col min="10760" max="10761" width="16.109375" style="13" bestFit="1" customWidth="1"/>
    <col min="10762" max="10762" width="13.6640625" style="13" customWidth="1"/>
    <col min="10763" max="10763" width="12.6640625" style="13" bestFit="1" customWidth="1"/>
    <col min="10764" max="10764" width="15.5546875" style="13" customWidth="1"/>
    <col min="10765" max="10765" width="16.109375" style="13" bestFit="1" customWidth="1"/>
    <col min="10766" max="10766" width="13.33203125" style="13" bestFit="1" customWidth="1"/>
    <col min="10767" max="10767" width="16.33203125" style="13" bestFit="1" customWidth="1"/>
    <col min="10768" max="10768" width="9.33203125" style="13" bestFit="1" customWidth="1"/>
    <col min="10769" max="10769" width="13" style="13" bestFit="1" customWidth="1"/>
    <col min="10770" max="10770" width="20.109375" style="13" bestFit="1" customWidth="1"/>
    <col min="10771" max="10771" width="50.33203125" style="13" bestFit="1" customWidth="1"/>
    <col min="10772" max="10772" width="16.109375" style="13" bestFit="1" customWidth="1"/>
    <col min="10773" max="10773" width="12.33203125" style="13" customWidth="1"/>
    <col min="10774" max="10774" width="18.88671875" style="13" bestFit="1" customWidth="1"/>
    <col min="10775" max="10775" width="16.6640625" style="13" customWidth="1"/>
    <col min="10776" max="10776" width="19" style="13" bestFit="1" customWidth="1"/>
    <col min="10777" max="10777" width="9.109375" style="13"/>
    <col min="10778" max="10778" width="18.88671875" style="13" bestFit="1" customWidth="1"/>
    <col min="10779" max="11008" width="9.109375" style="13"/>
    <col min="11009" max="11009" width="10.5546875" style="13" bestFit="1" customWidth="1"/>
    <col min="11010" max="11010" width="44.109375" style="13" customWidth="1"/>
    <col min="11011" max="11011" width="14.6640625" style="13" customWidth="1"/>
    <col min="11012" max="11012" width="23.6640625" style="13" bestFit="1" customWidth="1"/>
    <col min="11013" max="11013" width="11.88671875" style="13" customWidth="1"/>
    <col min="11014" max="11014" width="20.6640625" style="13" customWidth="1"/>
    <col min="11015" max="11015" width="15.6640625" style="13" customWidth="1"/>
    <col min="11016" max="11017" width="16.109375" style="13" bestFit="1" customWidth="1"/>
    <col min="11018" max="11018" width="13.6640625" style="13" customWidth="1"/>
    <col min="11019" max="11019" width="12.6640625" style="13" bestFit="1" customWidth="1"/>
    <col min="11020" max="11020" width="15.5546875" style="13" customWidth="1"/>
    <col min="11021" max="11021" width="16.109375" style="13" bestFit="1" customWidth="1"/>
    <col min="11022" max="11022" width="13.33203125" style="13" bestFit="1" customWidth="1"/>
    <col min="11023" max="11023" width="16.33203125" style="13" bestFit="1" customWidth="1"/>
    <col min="11024" max="11024" width="9.33203125" style="13" bestFit="1" customWidth="1"/>
    <col min="11025" max="11025" width="13" style="13" bestFit="1" customWidth="1"/>
    <col min="11026" max="11026" width="20.109375" style="13" bestFit="1" customWidth="1"/>
    <col min="11027" max="11027" width="50.33203125" style="13" bestFit="1" customWidth="1"/>
    <col min="11028" max="11028" width="16.109375" style="13" bestFit="1" customWidth="1"/>
    <col min="11029" max="11029" width="12.33203125" style="13" customWidth="1"/>
    <col min="11030" max="11030" width="18.88671875" style="13" bestFit="1" customWidth="1"/>
    <col min="11031" max="11031" width="16.6640625" style="13" customWidth="1"/>
    <col min="11032" max="11032" width="19" style="13" bestFit="1" customWidth="1"/>
    <col min="11033" max="11033" width="9.109375" style="13"/>
    <col min="11034" max="11034" width="18.88671875" style="13" bestFit="1" customWidth="1"/>
    <col min="11035" max="11264" width="9.109375" style="13"/>
    <col min="11265" max="11265" width="10.5546875" style="13" bestFit="1" customWidth="1"/>
    <col min="11266" max="11266" width="44.109375" style="13" customWidth="1"/>
    <col min="11267" max="11267" width="14.6640625" style="13" customWidth="1"/>
    <col min="11268" max="11268" width="23.6640625" style="13" bestFit="1" customWidth="1"/>
    <col min="11269" max="11269" width="11.88671875" style="13" customWidth="1"/>
    <col min="11270" max="11270" width="20.6640625" style="13" customWidth="1"/>
    <col min="11271" max="11271" width="15.6640625" style="13" customWidth="1"/>
    <col min="11272" max="11273" width="16.109375" style="13" bestFit="1" customWidth="1"/>
    <col min="11274" max="11274" width="13.6640625" style="13" customWidth="1"/>
    <col min="11275" max="11275" width="12.6640625" style="13" bestFit="1" customWidth="1"/>
    <col min="11276" max="11276" width="15.5546875" style="13" customWidth="1"/>
    <col min="11277" max="11277" width="16.109375" style="13" bestFit="1" customWidth="1"/>
    <col min="11278" max="11278" width="13.33203125" style="13" bestFit="1" customWidth="1"/>
    <col min="11279" max="11279" width="16.33203125" style="13" bestFit="1" customWidth="1"/>
    <col min="11280" max="11280" width="9.33203125" style="13" bestFit="1" customWidth="1"/>
    <col min="11281" max="11281" width="13" style="13" bestFit="1" customWidth="1"/>
    <col min="11282" max="11282" width="20.109375" style="13" bestFit="1" customWidth="1"/>
    <col min="11283" max="11283" width="50.33203125" style="13" bestFit="1" customWidth="1"/>
    <col min="11284" max="11284" width="16.109375" style="13" bestFit="1" customWidth="1"/>
    <col min="11285" max="11285" width="12.33203125" style="13" customWidth="1"/>
    <col min="11286" max="11286" width="18.88671875" style="13" bestFit="1" customWidth="1"/>
    <col min="11287" max="11287" width="16.6640625" style="13" customWidth="1"/>
    <col min="11288" max="11288" width="19" style="13" bestFit="1" customWidth="1"/>
    <col min="11289" max="11289" width="9.109375" style="13"/>
    <col min="11290" max="11290" width="18.88671875" style="13" bestFit="1" customWidth="1"/>
    <col min="11291" max="11520" width="9.109375" style="13"/>
    <col min="11521" max="11521" width="10.5546875" style="13" bestFit="1" customWidth="1"/>
    <col min="11522" max="11522" width="44.109375" style="13" customWidth="1"/>
    <col min="11523" max="11523" width="14.6640625" style="13" customWidth="1"/>
    <col min="11524" max="11524" width="23.6640625" style="13" bestFit="1" customWidth="1"/>
    <col min="11525" max="11525" width="11.88671875" style="13" customWidth="1"/>
    <col min="11526" max="11526" width="20.6640625" style="13" customWidth="1"/>
    <col min="11527" max="11527" width="15.6640625" style="13" customWidth="1"/>
    <col min="11528" max="11529" width="16.109375" style="13" bestFit="1" customWidth="1"/>
    <col min="11530" max="11530" width="13.6640625" style="13" customWidth="1"/>
    <col min="11531" max="11531" width="12.6640625" style="13" bestFit="1" customWidth="1"/>
    <col min="11532" max="11532" width="15.5546875" style="13" customWidth="1"/>
    <col min="11533" max="11533" width="16.109375" style="13" bestFit="1" customWidth="1"/>
    <col min="11534" max="11534" width="13.33203125" style="13" bestFit="1" customWidth="1"/>
    <col min="11535" max="11535" width="16.33203125" style="13" bestFit="1" customWidth="1"/>
    <col min="11536" max="11536" width="9.33203125" style="13" bestFit="1" customWidth="1"/>
    <col min="11537" max="11537" width="13" style="13" bestFit="1" customWidth="1"/>
    <col min="11538" max="11538" width="20.109375" style="13" bestFit="1" customWidth="1"/>
    <col min="11539" max="11539" width="50.33203125" style="13" bestFit="1" customWidth="1"/>
    <col min="11540" max="11540" width="16.109375" style="13" bestFit="1" customWidth="1"/>
    <col min="11541" max="11541" width="12.33203125" style="13" customWidth="1"/>
    <col min="11542" max="11542" width="18.88671875" style="13" bestFit="1" customWidth="1"/>
    <col min="11543" max="11543" width="16.6640625" style="13" customWidth="1"/>
    <col min="11544" max="11544" width="19" style="13" bestFit="1" customWidth="1"/>
    <col min="11545" max="11545" width="9.109375" style="13"/>
    <col min="11546" max="11546" width="18.88671875" style="13" bestFit="1" customWidth="1"/>
    <col min="11547" max="11776" width="9.109375" style="13"/>
    <col min="11777" max="11777" width="10.5546875" style="13" bestFit="1" customWidth="1"/>
    <col min="11778" max="11778" width="44.109375" style="13" customWidth="1"/>
    <col min="11779" max="11779" width="14.6640625" style="13" customWidth="1"/>
    <col min="11780" max="11780" width="23.6640625" style="13" bestFit="1" customWidth="1"/>
    <col min="11781" max="11781" width="11.88671875" style="13" customWidth="1"/>
    <col min="11782" max="11782" width="20.6640625" style="13" customWidth="1"/>
    <col min="11783" max="11783" width="15.6640625" style="13" customWidth="1"/>
    <col min="11784" max="11785" width="16.109375" style="13" bestFit="1" customWidth="1"/>
    <col min="11786" max="11786" width="13.6640625" style="13" customWidth="1"/>
    <col min="11787" max="11787" width="12.6640625" style="13" bestFit="1" customWidth="1"/>
    <col min="11788" max="11788" width="15.5546875" style="13" customWidth="1"/>
    <col min="11789" max="11789" width="16.109375" style="13" bestFit="1" customWidth="1"/>
    <col min="11790" max="11790" width="13.33203125" style="13" bestFit="1" customWidth="1"/>
    <col min="11791" max="11791" width="16.33203125" style="13" bestFit="1" customWidth="1"/>
    <col min="11792" max="11792" width="9.33203125" style="13" bestFit="1" customWidth="1"/>
    <col min="11793" max="11793" width="13" style="13" bestFit="1" customWidth="1"/>
    <col min="11794" max="11794" width="20.109375" style="13" bestFit="1" customWidth="1"/>
    <col min="11795" max="11795" width="50.33203125" style="13" bestFit="1" customWidth="1"/>
    <col min="11796" max="11796" width="16.109375" style="13" bestFit="1" customWidth="1"/>
    <col min="11797" max="11797" width="12.33203125" style="13" customWidth="1"/>
    <col min="11798" max="11798" width="18.88671875" style="13" bestFit="1" customWidth="1"/>
    <col min="11799" max="11799" width="16.6640625" style="13" customWidth="1"/>
    <col min="11800" max="11800" width="19" style="13" bestFit="1" customWidth="1"/>
    <col min="11801" max="11801" width="9.109375" style="13"/>
    <col min="11802" max="11802" width="18.88671875" style="13" bestFit="1" customWidth="1"/>
    <col min="11803" max="12032" width="9.109375" style="13"/>
    <col min="12033" max="12033" width="10.5546875" style="13" bestFit="1" customWidth="1"/>
    <col min="12034" max="12034" width="44.109375" style="13" customWidth="1"/>
    <col min="12035" max="12035" width="14.6640625" style="13" customWidth="1"/>
    <col min="12036" max="12036" width="23.6640625" style="13" bestFit="1" customWidth="1"/>
    <col min="12037" max="12037" width="11.88671875" style="13" customWidth="1"/>
    <col min="12038" max="12038" width="20.6640625" style="13" customWidth="1"/>
    <col min="12039" max="12039" width="15.6640625" style="13" customWidth="1"/>
    <col min="12040" max="12041" width="16.109375" style="13" bestFit="1" customWidth="1"/>
    <col min="12042" max="12042" width="13.6640625" style="13" customWidth="1"/>
    <col min="12043" max="12043" width="12.6640625" style="13" bestFit="1" customWidth="1"/>
    <col min="12044" max="12044" width="15.5546875" style="13" customWidth="1"/>
    <col min="12045" max="12045" width="16.109375" style="13" bestFit="1" customWidth="1"/>
    <col min="12046" max="12046" width="13.33203125" style="13" bestFit="1" customWidth="1"/>
    <col min="12047" max="12047" width="16.33203125" style="13" bestFit="1" customWidth="1"/>
    <col min="12048" max="12048" width="9.33203125" style="13" bestFit="1" customWidth="1"/>
    <col min="12049" max="12049" width="13" style="13" bestFit="1" customWidth="1"/>
    <col min="12050" max="12050" width="20.109375" style="13" bestFit="1" customWidth="1"/>
    <col min="12051" max="12051" width="50.33203125" style="13" bestFit="1" customWidth="1"/>
    <col min="12052" max="12052" width="16.109375" style="13" bestFit="1" customWidth="1"/>
    <col min="12053" max="12053" width="12.33203125" style="13" customWidth="1"/>
    <col min="12054" max="12054" width="18.88671875" style="13" bestFit="1" customWidth="1"/>
    <col min="12055" max="12055" width="16.6640625" style="13" customWidth="1"/>
    <col min="12056" max="12056" width="19" style="13" bestFit="1" customWidth="1"/>
    <col min="12057" max="12057" width="9.109375" style="13"/>
    <col min="12058" max="12058" width="18.88671875" style="13" bestFit="1" customWidth="1"/>
    <col min="12059" max="12288" width="9.109375" style="13"/>
    <col min="12289" max="12289" width="10.5546875" style="13" bestFit="1" customWidth="1"/>
    <col min="12290" max="12290" width="44.109375" style="13" customWidth="1"/>
    <col min="12291" max="12291" width="14.6640625" style="13" customWidth="1"/>
    <col min="12292" max="12292" width="23.6640625" style="13" bestFit="1" customWidth="1"/>
    <col min="12293" max="12293" width="11.88671875" style="13" customWidth="1"/>
    <col min="12294" max="12294" width="20.6640625" style="13" customWidth="1"/>
    <col min="12295" max="12295" width="15.6640625" style="13" customWidth="1"/>
    <col min="12296" max="12297" width="16.109375" style="13" bestFit="1" customWidth="1"/>
    <col min="12298" max="12298" width="13.6640625" style="13" customWidth="1"/>
    <col min="12299" max="12299" width="12.6640625" style="13" bestFit="1" customWidth="1"/>
    <col min="12300" max="12300" width="15.5546875" style="13" customWidth="1"/>
    <col min="12301" max="12301" width="16.109375" style="13" bestFit="1" customWidth="1"/>
    <col min="12302" max="12302" width="13.33203125" style="13" bestFit="1" customWidth="1"/>
    <col min="12303" max="12303" width="16.33203125" style="13" bestFit="1" customWidth="1"/>
    <col min="12304" max="12304" width="9.33203125" style="13" bestFit="1" customWidth="1"/>
    <col min="12305" max="12305" width="13" style="13" bestFit="1" customWidth="1"/>
    <col min="12306" max="12306" width="20.109375" style="13" bestFit="1" customWidth="1"/>
    <col min="12307" max="12307" width="50.33203125" style="13" bestFit="1" customWidth="1"/>
    <col min="12308" max="12308" width="16.109375" style="13" bestFit="1" customWidth="1"/>
    <col min="12309" max="12309" width="12.33203125" style="13" customWidth="1"/>
    <col min="12310" max="12310" width="18.88671875" style="13" bestFit="1" customWidth="1"/>
    <col min="12311" max="12311" width="16.6640625" style="13" customWidth="1"/>
    <col min="12312" max="12312" width="19" style="13" bestFit="1" customWidth="1"/>
    <col min="12313" max="12313" width="9.109375" style="13"/>
    <col min="12314" max="12314" width="18.88671875" style="13" bestFit="1" customWidth="1"/>
    <col min="12315" max="12544" width="9.109375" style="13"/>
    <col min="12545" max="12545" width="10.5546875" style="13" bestFit="1" customWidth="1"/>
    <col min="12546" max="12546" width="44.109375" style="13" customWidth="1"/>
    <col min="12547" max="12547" width="14.6640625" style="13" customWidth="1"/>
    <col min="12548" max="12548" width="23.6640625" style="13" bestFit="1" customWidth="1"/>
    <col min="12549" max="12549" width="11.88671875" style="13" customWidth="1"/>
    <col min="12550" max="12550" width="20.6640625" style="13" customWidth="1"/>
    <col min="12551" max="12551" width="15.6640625" style="13" customWidth="1"/>
    <col min="12552" max="12553" width="16.109375" style="13" bestFit="1" customWidth="1"/>
    <col min="12554" max="12554" width="13.6640625" style="13" customWidth="1"/>
    <col min="12555" max="12555" width="12.6640625" style="13" bestFit="1" customWidth="1"/>
    <col min="12556" max="12556" width="15.5546875" style="13" customWidth="1"/>
    <col min="12557" max="12557" width="16.109375" style="13" bestFit="1" customWidth="1"/>
    <col min="12558" max="12558" width="13.33203125" style="13" bestFit="1" customWidth="1"/>
    <col min="12559" max="12559" width="16.33203125" style="13" bestFit="1" customWidth="1"/>
    <col min="12560" max="12560" width="9.33203125" style="13" bestFit="1" customWidth="1"/>
    <col min="12561" max="12561" width="13" style="13" bestFit="1" customWidth="1"/>
    <col min="12562" max="12562" width="20.109375" style="13" bestFit="1" customWidth="1"/>
    <col min="12563" max="12563" width="50.33203125" style="13" bestFit="1" customWidth="1"/>
    <col min="12564" max="12564" width="16.109375" style="13" bestFit="1" customWidth="1"/>
    <col min="12565" max="12565" width="12.33203125" style="13" customWidth="1"/>
    <col min="12566" max="12566" width="18.88671875" style="13" bestFit="1" customWidth="1"/>
    <col min="12567" max="12567" width="16.6640625" style="13" customWidth="1"/>
    <col min="12568" max="12568" width="19" style="13" bestFit="1" customWidth="1"/>
    <col min="12569" max="12569" width="9.109375" style="13"/>
    <col min="12570" max="12570" width="18.88671875" style="13" bestFit="1" customWidth="1"/>
    <col min="12571" max="12800" width="9.109375" style="13"/>
    <col min="12801" max="12801" width="10.5546875" style="13" bestFit="1" customWidth="1"/>
    <col min="12802" max="12802" width="44.109375" style="13" customWidth="1"/>
    <col min="12803" max="12803" width="14.6640625" style="13" customWidth="1"/>
    <col min="12804" max="12804" width="23.6640625" style="13" bestFit="1" customWidth="1"/>
    <col min="12805" max="12805" width="11.88671875" style="13" customWidth="1"/>
    <col min="12806" max="12806" width="20.6640625" style="13" customWidth="1"/>
    <col min="12807" max="12807" width="15.6640625" style="13" customWidth="1"/>
    <col min="12808" max="12809" width="16.109375" style="13" bestFit="1" customWidth="1"/>
    <col min="12810" max="12810" width="13.6640625" style="13" customWidth="1"/>
    <col min="12811" max="12811" width="12.6640625" style="13" bestFit="1" customWidth="1"/>
    <col min="12812" max="12812" width="15.5546875" style="13" customWidth="1"/>
    <col min="12813" max="12813" width="16.109375" style="13" bestFit="1" customWidth="1"/>
    <col min="12814" max="12814" width="13.33203125" style="13" bestFit="1" customWidth="1"/>
    <col min="12815" max="12815" width="16.33203125" style="13" bestFit="1" customWidth="1"/>
    <col min="12816" max="12816" width="9.33203125" style="13" bestFit="1" customWidth="1"/>
    <col min="12817" max="12817" width="13" style="13" bestFit="1" customWidth="1"/>
    <col min="12818" max="12818" width="20.109375" style="13" bestFit="1" customWidth="1"/>
    <col min="12819" max="12819" width="50.33203125" style="13" bestFit="1" customWidth="1"/>
    <col min="12820" max="12820" width="16.109375" style="13" bestFit="1" customWidth="1"/>
    <col min="12821" max="12821" width="12.33203125" style="13" customWidth="1"/>
    <col min="12822" max="12822" width="18.88671875" style="13" bestFit="1" customWidth="1"/>
    <col min="12823" max="12823" width="16.6640625" style="13" customWidth="1"/>
    <col min="12824" max="12824" width="19" style="13" bestFit="1" customWidth="1"/>
    <col min="12825" max="12825" width="9.109375" style="13"/>
    <col min="12826" max="12826" width="18.88671875" style="13" bestFit="1" customWidth="1"/>
    <col min="12827" max="13056" width="9.109375" style="13"/>
    <col min="13057" max="13057" width="10.5546875" style="13" bestFit="1" customWidth="1"/>
    <col min="13058" max="13058" width="44.109375" style="13" customWidth="1"/>
    <col min="13059" max="13059" width="14.6640625" style="13" customWidth="1"/>
    <col min="13060" max="13060" width="23.6640625" style="13" bestFit="1" customWidth="1"/>
    <col min="13061" max="13061" width="11.88671875" style="13" customWidth="1"/>
    <col min="13062" max="13062" width="20.6640625" style="13" customWidth="1"/>
    <col min="13063" max="13063" width="15.6640625" style="13" customWidth="1"/>
    <col min="13064" max="13065" width="16.109375" style="13" bestFit="1" customWidth="1"/>
    <col min="13066" max="13066" width="13.6640625" style="13" customWidth="1"/>
    <col min="13067" max="13067" width="12.6640625" style="13" bestFit="1" customWidth="1"/>
    <col min="13068" max="13068" width="15.5546875" style="13" customWidth="1"/>
    <col min="13069" max="13069" width="16.109375" style="13" bestFit="1" customWidth="1"/>
    <col min="13070" max="13070" width="13.33203125" style="13" bestFit="1" customWidth="1"/>
    <col min="13071" max="13071" width="16.33203125" style="13" bestFit="1" customWidth="1"/>
    <col min="13072" max="13072" width="9.33203125" style="13" bestFit="1" customWidth="1"/>
    <col min="13073" max="13073" width="13" style="13" bestFit="1" customWidth="1"/>
    <col min="13074" max="13074" width="20.109375" style="13" bestFit="1" customWidth="1"/>
    <col min="13075" max="13075" width="50.33203125" style="13" bestFit="1" customWidth="1"/>
    <col min="13076" max="13076" width="16.109375" style="13" bestFit="1" customWidth="1"/>
    <col min="13077" max="13077" width="12.33203125" style="13" customWidth="1"/>
    <col min="13078" max="13078" width="18.88671875" style="13" bestFit="1" customWidth="1"/>
    <col min="13079" max="13079" width="16.6640625" style="13" customWidth="1"/>
    <col min="13080" max="13080" width="19" style="13" bestFit="1" customWidth="1"/>
    <col min="13081" max="13081" width="9.109375" style="13"/>
    <col min="13082" max="13082" width="18.88671875" style="13" bestFit="1" customWidth="1"/>
    <col min="13083" max="13312" width="9.109375" style="13"/>
    <col min="13313" max="13313" width="10.5546875" style="13" bestFit="1" customWidth="1"/>
    <col min="13314" max="13314" width="44.109375" style="13" customWidth="1"/>
    <col min="13315" max="13315" width="14.6640625" style="13" customWidth="1"/>
    <col min="13316" max="13316" width="23.6640625" style="13" bestFit="1" customWidth="1"/>
    <col min="13317" max="13317" width="11.88671875" style="13" customWidth="1"/>
    <col min="13318" max="13318" width="20.6640625" style="13" customWidth="1"/>
    <col min="13319" max="13319" width="15.6640625" style="13" customWidth="1"/>
    <col min="13320" max="13321" width="16.109375" style="13" bestFit="1" customWidth="1"/>
    <col min="13322" max="13322" width="13.6640625" style="13" customWidth="1"/>
    <col min="13323" max="13323" width="12.6640625" style="13" bestFit="1" customWidth="1"/>
    <col min="13324" max="13324" width="15.5546875" style="13" customWidth="1"/>
    <col min="13325" max="13325" width="16.109375" style="13" bestFit="1" customWidth="1"/>
    <col min="13326" max="13326" width="13.33203125" style="13" bestFit="1" customWidth="1"/>
    <col min="13327" max="13327" width="16.33203125" style="13" bestFit="1" customWidth="1"/>
    <col min="13328" max="13328" width="9.33203125" style="13" bestFit="1" customWidth="1"/>
    <col min="13329" max="13329" width="13" style="13" bestFit="1" customWidth="1"/>
    <col min="13330" max="13330" width="20.109375" style="13" bestFit="1" customWidth="1"/>
    <col min="13331" max="13331" width="50.33203125" style="13" bestFit="1" customWidth="1"/>
    <col min="13332" max="13332" width="16.109375" style="13" bestFit="1" customWidth="1"/>
    <col min="13333" max="13333" width="12.33203125" style="13" customWidth="1"/>
    <col min="13334" max="13334" width="18.88671875" style="13" bestFit="1" customWidth="1"/>
    <col min="13335" max="13335" width="16.6640625" style="13" customWidth="1"/>
    <col min="13336" max="13336" width="19" style="13" bestFit="1" customWidth="1"/>
    <col min="13337" max="13337" width="9.109375" style="13"/>
    <col min="13338" max="13338" width="18.88671875" style="13" bestFit="1" customWidth="1"/>
    <col min="13339" max="13568" width="9.109375" style="13"/>
    <col min="13569" max="13569" width="10.5546875" style="13" bestFit="1" customWidth="1"/>
    <col min="13570" max="13570" width="44.109375" style="13" customWidth="1"/>
    <col min="13571" max="13571" width="14.6640625" style="13" customWidth="1"/>
    <col min="13572" max="13572" width="23.6640625" style="13" bestFit="1" customWidth="1"/>
    <col min="13573" max="13573" width="11.88671875" style="13" customWidth="1"/>
    <col min="13574" max="13574" width="20.6640625" style="13" customWidth="1"/>
    <col min="13575" max="13575" width="15.6640625" style="13" customWidth="1"/>
    <col min="13576" max="13577" width="16.109375" style="13" bestFit="1" customWidth="1"/>
    <col min="13578" max="13578" width="13.6640625" style="13" customWidth="1"/>
    <col min="13579" max="13579" width="12.6640625" style="13" bestFit="1" customWidth="1"/>
    <col min="13580" max="13580" width="15.5546875" style="13" customWidth="1"/>
    <col min="13581" max="13581" width="16.109375" style="13" bestFit="1" customWidth="1"/>
    <col min="13582" max="13582" width="13.33203125" style="13" bestFit="1" customWidth="1"/>
    <col min="13583" max="13583" width="16.33203125" style="13" bestFit="1" customWidth="1"/>
    <col min="13584" max="13584" width="9.33203125" style="13" bestFit="1" customWidth="1"/>
    <col min="13585" max="13585" width="13" style="13" bestFit="1" customWidth="1"/>
    <col min="13586" max="13586" width="20.109375" style="13" bestFit="1" customWidth="1"/>
    <col min="13587" max="13587" width="50.33203125" style="13" bestFit="1" customWidth="1"/>
    <col min="13588" max="13588" width="16.109375" style="13" bestFit="1" customWidth="1"/>
    <col min="13589" max="13589" width="12.33203125" style="13" customWidth="1"/>
    <col min="13590" max="13590" width="18.88671875" style="13" bestFit="1" customWidth="1"/>
    <col min="13591" max="13591" width="16.6640625" style="13" customWidth="1"/>
    <col min="13592" max="13592" width="19" style="13" bestFit="1" customWidth="1"/>
    <col min="13593" max="13593" width="9.109375" style="13"/>
    <col min="13594" max="13594" width="18.88671875" style="13" bestFit="1" customWidth="1"/>
    <col min="13595" max="13824" width="9.109375" style="13"/>
    <col min="13825" max="13825" width="10.5546875" style="13" bestFit="1" customWidth="1"/>
    <col min="13826" max="13826" width="44.109375" style="13" customWidth="1"/>
    <col min="13827" max="13827" width="14.6640625" style="13" customWidth="1"/>
    <col min="13828" max="13828" width="23.6640625" style="13" bestFit="1" customWidth="1"/>
    <col min="13829" max="13829" width="11.88671875" style="13" customWidth="1"/>
    <col min="13830" max="13830" width="20.6640625" style="13" customWidth="1"/>
    <col min="13831" max="13831" width="15.6640625" style="13" customWidth="1"/>
    <col min="13832" max="13833" width="16.109375" style="13" bestFit="1" customWidth="1"/>
    <col min="13834" max="13834" width="13.6640625" style="13" customWidth="1"/>
    <col min="13835" max="13835" width="12.6640625" style="13" bestFit="1" customWidth="1"/>
    <col min="13836" max="13836" width="15.5546875" style="13" customWidth="1"/>
    <col min="13837" max="13837" width="16.109375" style="13" bestFit="1" customWidth="1"/>
    <col min="13838" max="13838" width="13.33203125" style="13" bestFit="1" customWidth="1"/>
    <col min="13839" max="13839" width="16.33203125" style="13" bestFit="1" customWidth="1"/>
    <col min="13840" max="13840" width="9.33203125" style="13" bestFit="1" customWidth="1"/>
    <col min="13841" max="13841" width="13" style="13" bestFit="1" customWidth="1"/>
    <col min="13842" max="13842" width="20.109375" style="13" bestFit="1" customWidth="1"/>
    <col min="13843" max="13843" width="50.33203125" style="13" bestFit="1" customWidth="1"/>
    <col min="13844" max="13844" width="16.109375" style="13" bestFit="1" customWidth="1"/>
    <col min="13845" max="13845" width="12.33203125" style="13" customWidth="1"/>
    <col min="13846" max="13846" width="18.88671875" style="13" bestFit="1" customWidth="1"/>
    <col min="13847" max="13847" width="16.6640625" style="13" customWidth="1"/>
    <col min="13848" max="13848" width="19" style="13" bestFit="1" customWidth="1"/>
    <col min="13849" max="13849" width="9.109375" style="13"/>
    <col min="13850" max="13850" width="18.88671875" style="13" bestFit="1" customWidth="1"/>
    <col min="13851" max="14080" width="9.109375" style="13"/>
    <col min="14081" max="14081" width="10.5546875" style="13" bestFit="1" customWidth="1"/>
    <col min="14082" max="14082" width="44.109375" style="13" customWidth="1"/>
    <col min="14083" max="14083" width="14.6640625" style="13" customWidth="1"/>
    <col min="14084" max="14084" width="23.6640625" style="13" bestFit="1" customWidth="1"/>
    <col min="14085" max="14085" width="11.88671875" style="13" customWidth="1"/>
    <col min="14086" max="14086" width="20.6640625" style="13" customWidth="1"/>
    <col min="14087" max="14087" width="15.6640625" style="13" customWidth="1"/>
    <col min="14088" max="14089" width="16.109375" style="13" bestFit="1" customWidth="1"/>
    <col min="14090" max="14090" width="13.6640625" style="13" customWidth="1"/>
    <col min="14091" max="14091" width="12.6640625" style="13" bestFit="1" customWidth="1"/>
    <col min="14092" max="14092" width="15.5546875" style="13" customWidth="1"/>
    <col min="14093" max="14093" width="16.109375" style="13" bestFit="1" customWidth="1"/>
    <col min="14094" max="14094" width="13.33203125" style="13" bestFit="1" customWidth="1"/>
    <col min="14095" max="14095" width="16.33203125" style="13" bestFit="1" customWidth="1"/>
    <col min="14096" max="14096" width="9.33203125" style="13" bestFit="1" customWidth="1"/>
    <col min="14097" max="14097" width="13" style="13" bestFit="1" customWidth="1"/>
    <col min="14098" max="14098" width="20.109375" style="13" bestFit="1" customWidth="1"/>
    <col min="14099" max="14099" width="50.33203125" style="13" bestFit="1" customWidth="1"/>
    <col min="14100" max="14100" width="16.109375" style="13" bestFit="1" customWidth="1"/>
    <col min="14101" max="14101" width="12.33203125" style="13" customWidth="1"/>
    <col min="14102" max="14102" width="18.88671875" style="13" bestFit="1" customWidth="1"/>
    <col min="14103" max="14103" width="16.6640625" style="13" customWidth="1"/>
    <col min="14104" max="14104" width="19" style="13" bestFit="1" customWidth="1"/>
    <col min="14105" max="14105" width="9.109375" style="13"/>
    <col min="14106" max="14106" width="18.88671875" style="13" bestFit="1" customWidth="1"/>
    <col min="14107" max="14336" width="9.109375" style="13"/>
    <col min="14337" max="14337" width="10.5546875" style="13" bestFit="1" customWidth="1"/>
    <col min="14338" max="14338" width="44.109375" style="13" customWidth="1"/>
    <col min="14339" max="14339" width="14.6640625" style="13" customWidth="1"/>
    <col min="14340" max="14340" width="23.6640625" style="13" bestFit="1" customWidth="1"/>
    <col min="14341" max="14341" width="11.88671875" style="13" customWidth="1"/>
    <col min="14342" max="14342" width="20.6640625" style="13" customWidth="1"/>
    <col min="14343" max="14343" width="15.6640625" style="13" customWidth="1"/>
    <col min="14344" max="14345" width="16.109375" style="13" bestFit="1" customWidth="1"/>
    <col min="14346" max="14346" width="13.6640625" style="13" customWidth="1"/>
    <col min="14347" max="14347" width="12.6640625" style="13" bestFit="1" customWidth="1"/>
    <col min="14348" max="14348" width="15.5546875" style="13" customWidth="1"/>
    <col min="14349" max="14349" width="16.109375" style="13" bestFit="1" customWidth="1"/>
    <col min="14350" max="14350" width="13.33203125" style="13" bestFit="1" customWidth="1"/>
    <col min="14351" max="14351" width="16.33203125" style="13" bestFit="1" customWidth="1"/>
    <col min="14352" max="14352" width="9.33203125" style="13" bestFit="1" customWidth="1"/>
    <col min="14353" max="14353" width="13" style="13" bestFit="1" customWidth="1"/>
    <col min="14354" max="14354" width="20.109375" style="13" bestFit="1" customWidth="1"/>
    <col min="14355" max="14355" width="50.33203125" style="13" bestFit="1" customWidth="1"/>
    <col min="14356" max="14356" width="16.109375" style="13" bestFit="1" customWidth="1"/>
    <col min="14357" max="14357" width="12.33203125" style="13" customWidth="1"/>
    <col min="14358" max="14358" width="18.88671875" style="13" bestFit="1" customWidth="1"/>
    <col min="14359" max="14359" width="16.6640625" style="13" customWidth="1"/>
    <col min="14360" max="14360" width="19" style="13" bestFit="1" customWidth="1"/>
    <col min="14361" max="14361" width="9.109375" style="13"/>
    <col min="14362" max="14362" width="18.88671875" style="13" bestFit="1" customWidth="1"/>
    <col min="14363" max="14592" width="9.109375" style="13"/>
    <col min="14593" max="14593" width="10.5546875" style="13" bestFit="1" customWidth="1"/>
    <col min="14594" max="14594" width="44.109375" style="13" customWidth="1"/>
    <col min="14595" max="14595" width="14.6640625" style="13" customWidth="1"/>
    <col min="14596" max="14596" width="23.6640625" style="13" bestFit="1" customWidth="1"/>
    <col min="14597" max="14597" width="11.88671875" style="13" customWidth="1"/>
    <col min="14598" max="14598" width="20.6640625" style="13" customWidth="1"/>
    <col min="14599" max="14599" width="15.6640625" style="13" customWidth="1"/>
    <col min="14600" max="14601" width="16.109375" style="13" bestFit="1" customWidth="1"/>
    <col min="14602" max="14602" width="13.6640625" style="13" customWidth="1"/>
    <col min="14603" max="14603" width="12.6640625" style="13" bestFit="1" customWidth="1"/>
    <col min="14604" max="14604" width="15.5546875" style="13" customWidth="1"/>
    <col min="14605" max="14605" width="16.109375" style="13" bestFit="1" customWidth="1"/>
    <col min="14606" max="14606" width="13.33203125" style="13" bestFit="1" customWidth="1"/>
    <col min="14607" max="14607" width="16.33203125" style="13" bestFit="1" customWidth="1"/>
    <col min="14608" max="14608" width="9.33203125" style="13" bestFit="1" customWidth="1"/>
    <col min="14609" max="14609" width="13" style="13" bestFit="1" customWidth="1"/>
    <col min="14610" max="14610" width="20.109375" style="13" bestFit="1" customWidth="1"/>
    <col min="14611" max="14611" width="50.33203125" style="13" bestFit="1" customWidth="1"/>
    <col min="14612" max="14612" width="16.109375" style="13" bestFit="1" customWidth="1"/>
    <col min="14613" max="14613" width="12.33203125" style="13" customWidth="1"/>
    <col min="14614" max="14614" width="18.88671875" style="13" bestFit="1" customWidth="1"/>
    <col min="14615" max="14615" width="16.6640625" style="13" customWidth="1"/>
    <col min="14616" max="14616" width="19" style="13" bestFit="1" customWidth="1"/>
    <col min="14617" max="14617" width="9.109375" style="13"/>
    <col min="14618" max="14618" width="18.88671875" style="13" bestFit="1" customWidth="1"/>
    <col min="14619" max="14848" width="9.109375" style="13"/>
    <col min="14849" max="14849" width="10.5546875" style="13" bestFit="1" customWidth="1"/>
    <col min="14850" max="14850" width="44.109375" style="13" customWidth="1"/>
    <col min="14851" max="14851" width="14.6640625" style="13" customWidth="1"/>
    <col min="14852" max="14852" width="23.6640625" style="13" bestFit="1" customWidth="1"/>
    <col min="14853" max="14853" width="11.88671875" style="13" customWidth="1"/>
    <col min="14854" max="14854" width="20.6640625" style="13" customWidth="1"/>
    <col min="14855" max="14855" width="15.6640625" style="13" customWidth="1"/>
    <col min="14856" max="14857" width="16.109375" style="13" bestFit="1" customWidth="1"/>
    <col min="14858" max="14858" width="13.6640625" style="13" customWidth="1"/>
    <col min="14859" max="14859" width="12.6640625" style="13" bestFit="1" customWidth="1"/>
    <col min="14860" max="14860" width="15.5546875" style="13" customWidth="1"/>
    <col min="14861" max="14861" width="16.109375" style="13" bestFit="1" customWidth="1"/>
    <col min="14862" max="14862" width="13.33203125" style="13" bestFit="1" customWidth="1"/>
    <col min="14863" max="14863" width="16.33203125" style="13" bestFit="1" customWidth="1"/>
    <col min="14864" max="14864" width="9.33203125" style="13" bestFit="1" customWidth="1"/>
    <col min="14865" max="14865" width="13" style="13" bestFit="1" customWidth="1"/>
    <col min="14866" max="14866" width="20.109375" style="13" bestFit="1" customWidth="1"/>
    <col min="14867" max="14867" width="50.33203125" style="13" bestFit="1" customWidth="1"/>
    <col min="14868" max="14868" width="16.109375" style="13" bestFit="1" customWidth="1"/>
    <col min="14869" max="14869" width="12.33203125" style="13" customWidth="1"/>
    <col min="14870" max="14870" width="18.88671875" style="13" bestFit="1" customWidth="1"/>
    <col min="14871" max="14871" width="16.6640625" style="13" customWidth="1"/>
    <col min="14872" max="14872" width="19" style="13" bestFit="1" customWidth="1"/>
    <col min="14873" max="14873" width="9.109375" style="13"/>
    <col min="14874" max="14874" width="18.88671875" style="13" bestFit="1" customWidth="1"/>
    <col min="14875" max="15104" width="9.109375" style="13"/>
    <col min="15105" max="15105" width="10.5546875" style="13" bestFit="1" customWidth="1"/>
    <col min="15106" max="15106" width="44.109375" style="13" customWidth="1"/>
    <col min="15107" max="15107" width="14.6640625" style="13" customWidth="1"/>
    <col min="15108" max="15108" width="23.6640625" style="13" bestFit="1" customWidth="1"/>
    <col min="15109" max="15109" width="11.88671875" style="13" customWidth="1"/>
    <col min="15110" max="15110" width="20.6640625" style="13" customWidth="1"/>
    <col min="15111" max="15111" width="15.6640625" style="13" customWidth="1"/>
    <col min="15112" max="15113" width="16.109375" style="13" bestFit="1" customWidth="1"/>
    <col min="15114" max="15114" width="13.6640625" style="13" customWidth="1"/>
    <col min="15115" max="15115" width="12.6640625" style="13" bestFit="1" customWidth="1"/>
    <col min="15116" max="15116" width="15.5546875" style="13" customWidth="1"/>
    <col min="15117" max="15117" width="16.109375" style="13" bestFit="1" customWidth="1"/>
    <col min="15118" max="15118" width="13.33203125" style="13" bestFit="1" customWidth="1"/>
    <col min="15119" max="15119" width="16.33203125" style="13" bestFit="1" customWidth="1"/>
    <col min="15120" max="15120" width="9.33203125" style="13" bestFit="1" customWidth="1"/>
    <col min="15121" max="15121" width="13" style="13" bestFit="1" customWidth="1"/>
    <col min="15122" max="15122" width="20.109375" style="13" bestFit="1" customWidth="1"/>
    <col min="15123" max="15123" width="50.33203125" style="13" bestFit="1" customWidth="1"/>
    <col min="15124" max="15124" width="16.109375" style="13" bestFit="1" customWidth="1"/>
    <col min="15125" max="15125" width="12.33203125" style="13" customWidth="1"/>
    <col min="15126" max="15126" width="18.88671875" style="13" bestFit="1" customWidth="1"/>
    <col min="15127" max="15127" width="16.6640625" style="13" customWidth="1"/>
    <col min="15128" max="15128" width="19" style="13" bestFit="1" customWidth="1"/>
    <col min="15129" max="15129" width="9.109375" style="13"/>
    <col min="15130" max="15130" width="18.88671875" style="13" bestFit="1" customWidth="1"/>
    <col min="15131" max="15360" width="9.109375" style="13"/>
    <col min="15361" max="15361" width="10.5546875" style="13" bestFit="1" customWidth="1"/>
    <col min="15362" max="15362" width="44.109375" style="13" customWidth="1"/>
    <col min="15363" max="15363" width="14.6640625" style="13" customWidth="1"/>
    <col min="15364" max="15364" width="23.6640625" style="13" bestFit="1" customWidth="1"/>
    <col min="15365" max="15365" width="11.88671875" style="13" customWidth="1"/>
    <col min="15366" max="15366" width="20.6640625" style="13" customWidth="1"/>
    <col min="15367" max="15367" width="15.6640625" style="13" customWidth="1"/>
    <col min="15368" max="15369" width="16.109375" style="13" bestFit="1" customWidth="1"/>
    <col min="15370" max="15370" width="13.6640625" style="13" customWidth="1"/>
    <col min="15371" max="15371" width="12.6640625" style="13" bestFit="1" customWidth="1"/>
    <col min="15372" max="15372" width="15.5546875" style="13" customWidth="1"/>
    <col min="15373" max="15373" width="16.109375" style="13" bestFit="1" customWidth="1"/>
    <col min="15374" max="15374" width="13.33203125" style="13" bestFit="1" customWidth="1"/>
    <col min="15375" max="15375" width="16.33203125" style="13" bestFit="1" customWidth="1"/>
    <col min="15376" max="15376" width="9.33203125" style="13" bestFit="1" customWidth="1"/>
    <col min="15377" max="15377" width="13" style="13" bestFit="1" customWidth="1"/>
    <col min="15378" max="15378" width="20.109375" style="13" bestFit="1" customWidth="1"/>
    <col min="15379" max="15379" width="50.33203125" style="13" bestFit="1" customWidth="1"/>
    <col min="15380" max="15380" width="16.109375" style="13" bestFit="1" customWidth="1"/>
    <col min="15381" max="15381" width="12.33203125" style="13" customWidth="1"/>
    <col min="15382" max="15382" width="18.88671875" style="13" bestFit="1" customWidth="1"/>
    <col min="15383" max="15383" width="16.6640625" style="13" customWidth="1"/>
    <col min="15384" max="15384" width="19" style="13" bestFit="1" customWidth="1"/>
    <col min="15385" max="15385" width="9.109375" style="13"/>
    <col min="15386" max="15386" width="18.88671875" style="13" bestFit="1" customWidth="1"/>
    <col min="15387" max="15616" width="9.109375" style="13"/>
    <col min="15617" max="15617" width="10.5546875" style="13" bestFit="1" customWidth="1"/>
    <col min="15618" max="15618" width="44.109375" style="13" customWidth="1"/>
    <col min="15619" max="15619" width="14.6640625" style="13" customWidth="1"/>
    <col min="15620" max="15620" width="23.6640625" style="13" bestFit="1" customWidth="1"/>
    <col min="15621" max="15621" width="11.88671875" style="13" customWidth="1"/>
    <col min="15622" max="15622" width="20.6640625" style="13" customWidth="1"/>
    <col min="15623" max="15623" width="15.6640625" style="13" customWidth="1"/>
    <col min="15624" max="15625" width="16.109375" style="13" bestFit="1" customWidth="1"/>
    <col min="15626" max="15626" width="13.6640625" style="13" customWidth="1"/>
    <col min="15627" max="15627" width="12.6640625" style="13" bestFit="1" customWidth="1"/>
    <col min="15628" max="15628" width="15.5546875" style="13" customWidth="1"/>
    <col min="15629" max="15629" width="16.109375" style="13" bestFit="1" customWidth="1"/>
    <col min="15630" max="15630" width="13.33203125" style="13" bestFit="1" customWidth="1"/>
    <col min="15631" max="15631" width="16.33203125" style="13" bestFit="1" customWidth="1"/>
    <col min="15632" max="15632" width="9.33203125" style="13" bestFit="1" customWidth="1"/>
    <col min="15633" max="15633" width="13" style="13" bestFit="1" customWidth="1"/>
    <col min="15634" max="15634" width="20.109375" style="13" bestFit="1" customWidth="1"/>
    <col min="15635" max="15635" width="50.33203125" style="13" bestFit="1" customWidth="1"/>
    <col min="15636" max="15636" width="16.109375" style="13" bestFit="1" customWidth="1"/>
    <col min="15637" max="15637" width="12.33203125" style="13" customWidth="1"/>
    <col min="15638" max="15638" width="18.88671875" style="13" bestFit="1" customWidth="1"/>
    <col min="15639" max="15639" width="16.6640625" style="13" customWidth="1"/>
    <col min="15640" max="15640" width="19" style="13" bestFit="1" customWidth="1"/>
    <col min="15641" max="15641" width="9.109375" style="13"/>
    <col min="15642" max="15642" width="18.88671875" style="13" bestFit="1" customWidth="1"/>
    <col min="15643" max="15872" width="9.109375" style="13"/>
    <col min="15873" max="15873" width="10.5546875" style="13" bestFit="1" customWidth="1"/>
    <col min="15874" max="15874" width="44.109375" style="13" customWidth="1"/>
    <col min="15875" max="15875" width="14.6640625" style="13" customWidth="1"/>
    <col min="15876" max="15876" width="23.6640625" style="13" bestFit="1" customWidth="1"/>
    <col min="15877" max="15877" width="11.88671875" style="13" customWidth="1"/>
    <col min="15878" max="15878" width="20.6640625" style="13" customWidth="1"/>
    <col min="15879" max="15879" width="15.6640625" style="13" customWidth="1"/>
    <col min="15880" max="15881" width="16.109375" style="13" bestFit="1" customWidth="1"/>
    <col min="15882" max="15882" width="13.6640625" style="13" customWidth="1"/>
    <col min="15883" max="15883" width="12.6640625" style="13" bestFit="1" customWidth="1"/>
    <col min="15884" max="15884" width="15.5546875" style="13" customWidth="1"/>
    <col min="15885" max="15885" width="16.109375" style="13" bestFit="1" customWidth="1"/>
    <col min="15886" max="15886" width="13.33203125" style="13" bestFit="1" customWidth="1"/>
    <col min="15887" max="15887" width="16.33203125" style="13" bestFit="1" customWidth="1"/>
    <col min="15888" max="15888" width="9.33203125" style="13" bestFit="1" customWidth="1"/>
    <col min="15889" max="15889" width="13" style="13" bestFit="1" customWidth="1"/>
    <col min="15890" max="15890" width="20.109375" style="13" bestFit="1" customWidth="1"/>
    <col min="15891" max="15891" width="50.33203125" style="13" bestFit="1" customWidth="1"/>
    <col min="15892" max="15892" width="16.109375" style="13" bestFit="1" customWidth="1"/>
    <col min="15893" max="15893" width="12.33203125" style="13" customWidth="1"/>
    <col min="15894" max="15894" width="18.88671875" style="13" bestFit="1" customWidth="1"/>
    <col min="15895" max="15895" width="16.6640625" style="13" customWidth="1"/>
    <col min="15896" max="15896" width="19" style="13" bestFit="1" customWidth="1"/>
    <col min="15897" max="15897" width="9.109375" style="13"/>
    <col min="15898" max="15898" width="18.88671875" style="13" bestFit="1" customWidth="1"/>
    <col min="15899" max="16128" width="9.109375" style="13"/>
    <col min="16129" max="16129" width="10.5546875" style="13" bestFit="1" customWidth="1"/>
    <col min="16130" max="16130" width="44.109375" style="13" customWidth="1"/>
    <col min="16131" max="16131" width="14.6640625" style="13" customWidth="1"/>
    <col min="16132" max="16132" width="23.6640625" style="13" bestFit="1" customWidth="1"/>
    <col min="16133" max="16133" width="11.88671875" style="13" customWidth="1"/>
    <col min="16134" max="16134" width="20.6640625" style="13" customWidth="1"/>
    <col min="16135" max="16135" width="15.6640625" style="13" customWidth="1"/>
    <col min="16136" max="16137" width="16.109375" style="13" bestFit="1" customWidth="1"/>
    <col min="16138" max="16138" width="13.6640625" style="13" customWidth="1"/>
    <col min="16139" max="16139" width="12.6640625" style="13" bestFit="1" customWidth="1"/>
    <col min="16140" max="16140" width="15.5546875" style="13" customWidth="1"/>
    <col min="16141" max="16141" width="16.109375" style="13" bestFit="1" customWidth="1"/>
    <col min="16142" max="16142" width="13.33203125" style="13" bestFit="1" customWidth="1"/>
    <col min="16143" max="16143" width="16.33203125" style="13" bestFit="1" customWidth="1"/>
    <col min="16144" max="16144" width="9.33203125" style="13" bestFit="1" customWidth="1"/>
    <col min="16145" max="16145" width="13" style="13" bestFit="1" customWidth="1"/>
    <col min="16146" max="16146" width="20.109375" style="13" bestFit="1" customWidth="1"/>
    <col min="16147" max="16147" width="50.33203125" style="13" bestFit="1" customWidth="1"/>
    <col min="16148" max="16148" width="16.109375" style="13" bestFit="1" customWidth="1"/>
    <col min="16149" max="16149" width="12.33203125" style="13" customWidth="1"/>
    <col min="16150" max="16150" width="18.88671875" style="13" bestFit="1" customWidth="1"/>
    <col min="16151" max="16151" width="16.6640625" style="13" customWidth="1"/>
    <col min="16152" max="16152" width="19" style="13" bestFit="1" customWidth="1"/>
    <col min="16153" max="16153" width="9.109375" style="13"/>
    <col min="16154" max="16154" width="18.88671875" style="13" bestFit="1" customWidth="1"/>
    <col min="16155" max="16384" width="9.109375" style="13"/>
  </cols>
  <sheetData>
    <row r="1" spans="1:26">
      <c r="J1" s="16"/>
      <c r="K1" s="16"/>
      <c r="L1" s="16"/>
    </row>
    <row r="2" spans="1:26" ht="17.399999999999999">
      <c r="A2" s="208" t="s">
        <v>226</v>
      </c>
      <c r="J2" s="207"/>
      <c r="K2" s="16"/>
      <c r="L2" s="16"/>
    </row>
    <row r="3" spans="1:26" ht="14.4" thickBot="1">
      <c r="A3" s="9" t="s">
        <v>132</v>
      </c>
      <c r="H3" s="49"/>
      <c r="J3" s="206"/>
      <c r="K3" s="16"/>
      <c r="L3" s="16"/>
    </row>
    <row r="4" spans="1:26" ht="16.2" thickBot="1">
      <c r="A4" s="92"/>
      <c r="B4" s="90"/>
      <c r="C4" s="90" t="s">
        <v>225</v>
      </c>
      <c r="D4" s="205" t="e">
        <f>L218</f>
        <v>#REF!</v>
      </c>
      <c r="H4" s="49"/>
      <c r="J4" s="194"/>
      <c r="K4" s="204"/>
      <c r="L4" s="16"/>
    </row>
    <row r="5" spans="1:26">
      <c r="A5" s="94"/>
      <c r="B5" s="94"/>
      <c r="C5" s="94"/>
      <c r="D5" s="94"/>
      <c r="E5" s="94"/>
      <c r="F5" s="94"/>
      <c r="H5" s="49"/>
      <c r="J5" s="16"/>
      <c r="K5" s="193"/>
      <c r="L5" s="48"/>
      <c r="M5" s="49"/>
      <c r="N5" s="49"/>
      <c r="O5" s="49"/>
      <c r="P5" s="49"/>
      <c r="Q5" s="49"/>
      <c r="R5" s="49"/>
      <c r="S5" s="49"/>
      <c r="T5" s="203"/>
      <c r="U5" s="203"/>
      <c r="V5" s="203"/>
      <c r="W5" s="203"/>
      <c r="X5" s="203"/>
    </row>
    <row r="6" spans="1:26" ht="14.4">
      <c r="A6" s="94"/>
      <c r="B6" s="202"/>
      <c r="C6" s="201"/>
      <c r="D6" s="200"/>
      <c r="E6" s="201"/>
      <c r="F6" s="200" t="s">
        <v>99</v>
      </c>
      <c r="H6" s="49"/>
      <c r="J6" s="16"/>
      <c r="K6" s="193"/>
      <c r="L6" s="48"/>
      <c r="M6" s="49"/>
      <c r="N6" s="49"/>
      <c r="O6" s="49"/>
      <c r="P6" s="49"/>
      <c r="Q6" s="49"/>
      <c r="R6" s="49"/>
      <c r="S6" s="49"/>
      <c r="T6" s="199"/>
      <c r="X6" s="198"/>
      <c r="Z6" s="192"/>
    </row>
    <row r="7" spans="1:26" ht="15.6">
      <c r="A7" s="100"/>
      <c r="B7" s="197"/>
      <c r="C7" s="197"/>
      <c r="D7" s="9"/>
      <c r="E7" s="196" t="s">
        <v>224</v>
      </c>
      <c r="F7" s="195" t="e">
        <f>L214</f>
        <v>#REF!</v>
      </c>
      <c r="H7" s="49"/>
      <c r="J7" s="194"/>
      <c r="K7" s="193"/>
      <c r="L7" s="48"/>
      <c r="M7" s="49"/>
      <c r="N7" s="49"/>
      <c r="O7" s="49"/>
      <c r="P7" s="49"/>
      <c r="Q7" s="49"/>
      <c r="R7" s="49"/>
      <c r="S7" s="49"/>
      <c r="T7" s="86"/>
      <c r="Z7" s="192"/>
    </row>
    <row r="8" spans="1:26" ht="14.4">
      <c r="A8" s="93"/>
      <c r="B8" s="93"/>
      <c r="H8" s="49"/>
      <c r="J8" s="16"/>
      <c r="K8" s="48"/>
      <c r="L8" s="48"/>
      <c r="M8" s="49"/>
      <c r="N8" s="49"/>
      <c r="O8" s="49"/>
      <c r="P8" s="49"/>
      <c r="Q8" s="49"/>
      <c r="R8" s="49"/>
      <c r="S8" s="49"/>
      <c r="Z8" s="192"/>
    </row>
    <row r="9" spans="1:26" ht="14.4">
      <c r="H9" s="49"/>
      <c r="J9" s="16"/>
      <c r="K9" s="48"/>
      <c r="L9" s="48"/>
      <c r="M9" s="49"/>
      <c r="N9" s="49"/>
      <c r="O9" s="49"/>
      <c r="P9" s="49"/>
      <c r="Q9" s="49"/>
      <c r="R9" s="49"/>
      <c r="S9" s="49"/>
      <c r="Z9" s="192"/>
    </row>
    <row r="10" spans="1:26" ht="14.4">
      <c r="H10" s="49"/>
      <c r="J10" s="16"/>
      <c r="K10" s="48"/>
      <c r="L10" s="48"/>
      <c r="M10" s="49"/>
      <c r="N10" s="49"/>
      <c r="O10" s="49"/>
      <c r="P10" s="49"/>
      <c r="Q10" s="49"/>
      <c r="R10" s="49"/>
      <c r="S10" s="49"/>
      <c r="T10" s="190"/>
      <c r="X10" s="190"/>
      <c r="Z10" s="192"/>
    </row>
    <row r="11" spans="1:26">
      <c r="H11" s="49"/>
      <c r="J11" s="16"/>
      <c r="K11" s="48"/>
      <c r="L11" s="48"/>
      <c r="M11" s="49"/>
      <c r="N11" s="49"/>
      <c r="O11" s="49"/>
      <c r="P11" s="49"/>
      <c r="Q11" s="49"/>
      <c r="R11" s="49"/>
      <c r="S11" s="49"/>
      <c r="Z11" s="49"/>
    </row>
    <row r="12" spans="1:26">
      <c r="B12" s="150" t="s">
        <v>223</v>
      </c>
      <c r="H12" s="49"/>
      <c r="K12" s="49"/>
      <c r="L12" s="49"/>
      <c r="M12" s="49"/>
      <c r="N12" s="49"/>
      <c r="O12" s="49"/>
      <c r="P12" s="49"/>
      <c r="Q12" s="49"/>
      <c r="R12" s="49"/>
      <c r="S12" s="49"/>
      <c r="Z12" s="49"/>
    </row>
    <row r="13" spans="1:26">
      <c r="B13" s="124"/>
      <c r="H13" s="49"/>
      <c r="K13" s="49"/>
      <c r="L13" s="49"/>
      <c r="M13" s="49"/>
      <c r="N13" s="49"/>
      <c r="O13" s="49"/>
      <c r="P13" s="49"/>
      <c r="Q13" s="49"/>
      <c r="R13" s="49"/>
      <c r="S13" s="49"/>
      <c r="Z13" s="49"/>
    </row>
    <row r="14" spans="1:26">
      <c r="B14" s="129" t="s">
        <v>222</v>
      </c>
      <c r="C14" s="94"/>
      <c r="D14" s="94"/>
      <c r="E14" s="94"/>
      <c r="H14" s="49"/>
      <c r="K14" s="49"/>
      <c r="L14" s="49"/>
      <c r="M14" s="49"/>
      <c r="N14" s="49"/>
      <c r="O14" s="49"/>
      <c r="P14" s="49"/>
      <c r="Q14" s="49"/>
      <c r="R14" s="49"/>
      <c r="S14" s="49"/>
      <c r="Z14" s="49"/>
    </row>
    <row r="15" spans="1:26" ht="14.4">
      <c r="B15" s="139" t="s">
        <v>172</v>
      </c>
      <c r="C15" s="139"/>
      <c r="D15" s="191">
        <v>14101.476000000001</v>
      </c>
      <c r="E15" s="141" t="s">
        <v>171</v>
      </c>
      <c r="F15" s="49"/>
      <c r="H15" s="49"/>
      <c r="K15" s="49"/>
      <c r="L15" s="49"/>
      <c r="M15" s="49"/>
      <c r="N15" s="49"/>
      <c r="O15" s="49"/>
      <c r="P15" s="49"/>
      <c r="Q15" s="49"/>
      <c r="R15" s="49"/>
      <c r="S15" s="49"/>
      <c r="T15" s="190"/>
      <c r="V15" s="190"/>
      <c r="X15" s="190"/>
      <c r="Z15" s="190"/>
    </row>
    <row r="16" spans="1:26" ht="14.4">
      <c r="B16" s="139" t="s">
        <v>170</v>
      </c>
      <c r="C16" s="139"/>
      <c r="D16" s="191">
        <v>146</v>
      </c>
      <c r="E16" s="141" t="s">
        <v>169</v>
      </c>
      <c r="F16" s="49"/>
      <c r="H16" s="49"/>
      <c r="K16" s="49"/>
      <c r="L16" s="49"/>
      <c r="M16" s="49"/>
      <c r="N16" s="49"/>
      <c r="O16" s="49"/>
      <c r="P16" s="49"/>
      <c r="Q16" s="49"/>
      <c r="R16" s="49"/>
      <c r="S16" s="49"/>
      <c r="T16" s="190"/>
      <c r="V16" s="190"/>
      <c r="X16" s="190"/>
      <c r="Z16" s="190"/>
    </row>
    <row r="17" spans="1:26" ht="14.4">
      <c r="B17" s="139" t="s">
        <v>168</v>
      </c>
      <c r="C17" s="139"/>
      <c r="D17" s="191">
        <v>2337</v>
      </c>
      <c r="E17" s="141" t="s">
        <v>103</v>
      </c>
      <c r="F17" s="49"/>
      <c r="H17" s="49"/>
      <c r="K17" s="49"/>
      <c r="L17" s="49"/>
      <c r="M17" s="49"/>
      <c r="N17" s="49"/>
      <c r="O17" s="49"/>
      <c r="P17" s="49"/>
      <c r="Q17" s="49"/>
      <c r="R17" s="49"/>
      <c r="S17" s="49"/>
      <c r="T17" s="190"/>
      <c r="V17" s="190"/>
      <c r="X17" s="190"/>
      <c r="Z17" s="190"/>
    </row>
    <row r="18" spans="1:26" ht="14.4">
      <c r="B18" s="139" t="s">
        <v>167</v>
      </c>
      <c r="C18" s="139"/>
      <c r="D18" s="191" t="e">
        <f>IF(#REF!=1,27095983,22134200+1012466)</f>
        <v>#REF!</v>
      </c>
      <c r="E18" s="141" t="s">
        <v>166</v>
      </c>
      <c r="F18" s="49"/>
      <c r="H18" s="49"/>
      <c r="K18" s="49"/>
      <c r="L18" s="49"/>
      <c r="M18" s="49"/>
      <c r="N18" s="49"/>
      <c r="O18" s="49"/>
      <c r="P18" s="49"/>
      <c r="Q18" s="49"/>
      <c r="R18" s="49"/>
      <c r="S18" s="49"/>
      <c r="T18" s="190"/>
      <c r="V18" s="190"/>
      <c r="X18" s="190"/>
      <c r="Z18" s="190"/>
    </row>
    <row r="19" spans="1:26">
      <c r="B19" s="94"/>
      <c r="C19" s="94"/>
      <c r="D19" s="107"/>
      <c r="E19" s="141"/>
      <c r="F19" s="49"/>
      <c r="H19" s="49"/>
      <c r="K19" s="49"/>
      <c r="L19" s="49"/>
      <c r="M19" s="49"/>
      <c r="N19" s="49"/>
      <c r="O19" s="49"/>
      <c r="P19" s="188"/>
      <c r="Q19" s="49"/>
      <c r="R19" s="49"/>
      <c r="S19" s="49"/>
      <c r="Z19" s="49"/>
    </row>
    <row r="20" spans="1:26" ht="14.4">
      <c r="B20" s="94"/>
      <c r="C20" s="94"/>
      <c r="D20" s="107"/>
      <c r="E20" s="141"/>
      <c r="H20" s="49"/>
      <c r="K20" s="49"/>
      <c r="L20" s="49"/>
      <c r="M20" s="49"/>
      <c r="N20" s="49"/>
      <c r="O20" s="189"/>
      <c r="P20" s="188"/>
      <c r="Q20" s="49"/>
      <c r="R20" s="49"/>
      <c r="S20" s="49"/>
      <c r="Z20" s="49"/>
    </row>
    <row r="21" spans="1:26" ht="14.4">
      <c r="H21" s="49"/>
      <c r="K21" s="49"/>
      <c r="L21" s="49"/>
      <c r="M21" s="48"/>
      <c r="N21" s="48"/>
      <c r="O21" s="174"/>
      <c r="P21" s="48"/>
      <c r="Q21" s="48"/>
      <c r="R21" s="48"/>
      <c r="S21" s="48"/>
      <c r="Z21" s="49"/>
    </row>
    <row r="22" spans="1:26" s="87" customFormat="1" ht="14.4">
      <c r="M22" s="186"/>
      <c r="N22" s="186"/>
      <c r="O22" s="187"/>
      <c r="P22" s="186"/>
      <c r="Q22" s="186"/>
      <c r="R22" s="186"/>
      <c r="S22" s="186"/>
    </row>
    <row r="23" spans="1:26" ht="14.4">
      <c r="G23" s="49"/>
      <c r="H23" s="49"/>
      <c r="I23" s="49"/>
      <c r="J23" s="49"/>
      <c r="K23" s="185"/>
      <c r="L23" s="49"/>
      <c r="M23" s="48"/>
      <c r="N23" s="48"/>
      <c r="O23" s="174"/>
      <c r="P23" s="48"/>
      <c r="Q23" s="48"/>
      <c r="R23" s="48"/>
      <c r="S23" s="48"/>
      <c r="T23" s="49"/>
      <c r="U23" s="49"/>
      <c r="V23" s="49"/>
      <c r="W23" s="49"/>
      <c r="X23" s="49"/>
      <c r="Y23" s="49"/>
      <c r="Z23" s="49"/>
    </row>
    <row r="24" spans="1:26">
      <c r="B24" s="94" t="s">
        <v>221</v>
      </c>
      <c r="G24" s="49"/>
      <c r="H24" s="49"/>
      <c r="I24" s="49"/>
      <c r="J24" s="49"/>
      <c r="K24" s="49"/>
      <c r="L24" s="49"/>
      <c r="M24" s="48"/>
      <c r="N24" s="48"/>
      <c r="O24" s="48"/>
      <c r="P24" s="48"/>
      <c r="Q24" s="48"/>
      <c r="R24" s="48"/>
      <c r="S24" s="48"/>
      <c r="T24" s="49"/>
      <c r="U24" s="49"/>
      <c r="V24" s="49"/>
      <c r="W24" s="49"/>
      <c r="X24" s="49"/>
      <c r="Y24" s="49"/>
      <c r="Z24" s="49"/>
    </row>
    <row r="25" spans="1:26">
      <c r="D25" s="104"/>
      <c r="G25" s="49"/>
      <c r="H25" s="49"/>
      <c r="I25" s="49"/>
      <c r="J25" s="49"/>
      <c r="K25" s="49"/>
      <c r="L25" s="49"/>
      <c r="M25" s="48"/>
      <c r="N25" s="48"/>
      <c r="O25" s="48"/>
      <c r="P25" s="48"/>
      <c r="Q25" s="48"/>
      <c r="R25" s="48"/>
      <c r="S25" s="48"/>
      <c r="T25" s="49"/>
      <c r="U25" s="49"/>
      <c r="V25" s="49"/>
      <c r="W25" s="49"/>
      <c r="X25" s="49"/>
      <c r="Y25" s="49"/>
      <c r="Z25" s="49"/>
    </row>
    <row r="26" spans="1:26">
      <c r="A26" s="184" t="s">
        <v>0</v>
      </c>
      <c r="B26" s="183"/>
      <c r="C26" s="182"/>
      <c r="D26" s="176" t="s">
        <v>218</v>
      </c>
      <c r="E26" s="181" t="s">
        <v>220</v>
      </c>
      <c r="F26" s="181"/>
      <c r="K26" s="49"/>
      <c r="L26" s="49"/>
      <c r="M26" s="48"/>
      <c r="N26" s="48"/>
      <c r="O26" s="48"/>
      <c r="P26" s="48"/>
      <c r="Q26" s="48"/>
      <c r="R26" s="48"/>
      <c r="S26" s="48"/>
      <c r="T26" s="49"/>
      <c r="U26" s="49"/>
      <c r="V26" s="49"/>
      <c r="W26" s="49"/>
      <c r="X26" s="49"/>
      <c r="Y26" s="49"/>
      <c r="Z26" s="49"/>
    </row>
    <row r="27" spans="1:26">
      <c r="A27" s="180" t="s">
        <v>2</v>
      </c>
      <c r="B27" s="180"/>
      <c r="C27" s="179" t="s">
        <v>219</v>
      </c>
      <c r="D27" s="178" t="s">
        <v>81</v>
      </c>
      <c r="E27" s="178" t="s">
        <v>218</v>
      </c>
      <c r="F27" s="175"/>
      <c r="K27" s="49"/>
      <c r="M27" s="48"/>
      <c r="N27" s="48"/>
      <c r="O27" s="48"/>
      <c r="P27" s="48"/>
      <c r="Q27" s="48"/>
      <c r="R27" s="48"/>
      <c r="S27" s="48"/>
      <c r="T27" s="49"/>
      <c r="U27" s="49"/>
      <c r="V27" s="49"/>
      <c r="W27" s="49"/>
      <c r="X27" s="49"/>
      <c r="Y27" s="49"/>
      <c r="Z27" s="49"/>
    </row>
    <row r="28" spans="1:26">
      <c r="A28" s="177"/>
      <c r="B28" s="177" t="s">
        <v>4</v>
      </c>
      <c r="C28" s="177" t="s">
        <v>5</v>
      </c>
      <c r="D28" s="176" t="s">
        <v>6</v>
      </c>
      <c r="E28" s="176" t="s">
        <v>7</v>
      </c>
      <c r="F28" s="175"/>
      <c r="K28" s="49"/>
      <c r="M28" s="48"/>
      <c r="N28" s="48"/>
      <c r="O28" s="48"/>
      <c r="P28" s="48"/>
      <c r="Q28" s="48"/>
      <c r="R28" s="48"/>
      <c r="S28" s="48"/>
      <c r="T28" s="49"/>
      <c r="U28" s="49"/>
      <c r="V28" s="49"/>
      <c r="W28" s="49"/>
      <c r="X28" s="49"/>
      <c r="Y28" s="49"/>
      <c r="Z28" s="49"/>
    </row>
    <row r="29" spans="1:26">
      <c r="A29" s="167">
        <v>1</v>
      </c>
      <c r="B29" s="169" t="s">
        <v>217</v>
      </c>
      <c r="C29" s="169" t="e">
        <f>SUM(D29:E29)</f>
        <v>#REF!</v>
      </c>
      <c r="D29" s="159" t="e">
        <f>#REF!</f>
        <v>#REF!</v>
      </c>
      <c r="E29" s="159" t="e">
        <f>#REF!</f>
        <v>#REF!</v>
      </c>
      <c r="F29" s="163"/>
      <c r="G29" s="176" t="s">
        <v>218</v>
      </c>
      <c r="H29" s="181" t="s">
        <v>220</v>
      </c>
      <c r="K29" s="49"/>
      <c r="M29" s="48"/>
      <c r="N29" s="48"/>
      <c r="O29" s="48"/>
      <c r="P29" s="48"/>
      <c r="Q29" s="48"/>
      <c r="R29" s="48"/>
      <c r="S29" s="48"/>
      <c r="T29" s="49"/>
      <c r="U29" s="49"/>
      <c r="V29" s="49"/>
      <c r="W29" s="49"/>
      <c r="X29" s="49"/>
      <c r="Y29" s="49"/>
      <c r="Z29" s="49"/>
    </row>
    <row r="30" spans="1:26" ht="14.4">
      <c r="A30" s="167">
        <v>2</v>
      </c>
      <c r="B30" s="174" t="s">
        <v>216</v>
      </c>
      <c r="C30" s="169" t="e">
        <f>SUM(D30:E30)</f>
        <v>#REF!</v>
      </c>
      <c r="D30" s="159" t="e">
        <f>#REF!</f>
        <v>#REF!</v>
      </c>
      <c r="E30" s="159" t="e">
        <f>#REF!</f>
        <v>#REF!</v>
      </c>
      <c r="F30" s="163"/>
      <c r="G30" s="178" t="s">
        <v>81</v>
      </c>
      <c r="H30" s="178" t="s">
        <v>218</v>
      </c>
      <c r="K30" s="49"/>
      <c r="R30" s="49"/>
      <c r="S30" s="49"/>
      <c r="T30" s="49"/>
      <c r="U30" s="49"/>
      <c r="V30" s="49"/>
      <c r="W30" s="49"/>
      <c r="X30" s="49"/>
      <c r="Y30" s="49"/>
      <c r="Z30" s="49"/>
    </row>
    <row r="31" spans="1:26" ht="14.4">
      <c r="A31" s="167"/>
      <c r="B31" s="174"/>
      <c r="C31" s="169"/>
      <c r="D31" s="159"/>
      <c r="E31" s="159"/>
      <c r="F31" s="163"/>
      <c r="G31" s="173"/>
      <c r="K31" s="49"/>
      <c r="R31" s="49"/>
      <c r="S31" s="49"/>
      <c r="T31" s="49"/>
      <c r="U31" s="49"/>
      <c r="V31" s="49"/>
      <c r="W31" s="49"/>
      <c r="X31" s="49"/>
      <c r="Y31" s="49"/>
      <c r="Z31" s="49"/>
    </row>
    <row r="32" spans="1:26">
      <c r="A32" s="167">
        <v>3</v>
      </c>
      <c r="B32" s="169" t="s">
        <v>215</v>
      </c>
      <c r="C32" s="164" t="e">
        <f>#REF!</f>
        <v>#REF!</v>
      </c>
      <c r="D32" s="164" t="e">
        <f>$C$32*G32</f>
        <v>#REF!</v>
      </c>
      <c r="E32" s="164" t="e">
        <f>$C$32*H32</f>
        <v>#REF!</v>
      </c>
      <c r="F32" s="163"/>
      <c r="G32" s="265" t="e">
        <f>#REF!</f>
        <v>#REF!</v>
      </c>
      <c r="H32" s="265" t="e">
        <f>#REF!</f>
        <v>#REF!</v>
      </c>
      <c r="K32" s="49"/>
      <c r="R32" s="49"/>
      <c r="S32" s="49"/>
      <c r="T32" s="49"/>
      <c r="U32" s="49"/>
      <c r="V32" s="49"/>
      <c r="W32" s="49"/>
      <c r="X32" s="49"/>
      <c r="Y32" s="49"/>
      <c r="Z32" s="49"/>
    </row>
    <row r="33" spans="1:26">
      <c r="B33" s="166"/>
      <c r="C33" s="172"/>
      <c r="D33" s="171"/>
      <c r="E33" s="171"/>
      <c r="F33" s="16"/>
      <c r="G33" s="9"/>
      <c r="H33" s="9"/>
      <c r="I33" s="121"/>
      <c r="K33" s="49"/>
      <c r="R33" s="49"/>
      <c r="S33" s="49"/>
      <c r="T33" s="49"/>
      <c r="U33" s="49"/>
      <c r="V33" s="49"/>
      <c r="W33" s="49"/>
      <c r="X33" s="49"/>
      <c r="Y33" s="49"/>
      <c r="Z33" s="49"/>
    </row>
    <row r="34" spans="1:26">
      <c r="A34" s="167"/>
      <c r="B34" s="170"/>
      <c r="C34" s="169"/>
      <c r="D34" s="169"/>
      <c r="E34" s="169"/>
      <c r="F34" s="163"/>
      <c r="G34" s="9"/>
      <c r="H34" s="9"/>
      <c r="K34" s="49"/>
      <c r="R34" s="49"/>
      <c r="S34" s="49"/>
      <c r="T34" s="49"/>
      <c r="U34" s="49"/>
      <c r="V34" s="49"/>
      <c r="W34" s="49"/>
      <c r="X34" s="49"/>
      <c r="Y34" s="49"/>
      <c r="Z34" s="49"/>
    </row>
    <row r="35" spans="1:26">
      <c r="A35" s="167"/>
      <c r="B35" s="166" t="s">
        <v>262</v>
      </c>
      <c r="C35" s="168" t="e">
        <f>#REF!*-1000</f>
        <v>#REF!</v>
      </c>
      <c r="D35" s="168" t="e">
        <f>$C$35*G35</f>
        <v>#REF!</v>
      </c>
      <c r="E35" s="168" t="e">
        <f>$C$35*H35</f>
        <v>#REF!</v>
      </c>
      <c r="F35" s="163"/>
      <c r="G35" s="265" t="e">
        <f>G32</f>
        <v>#REF!</v>
      </c>
      <c r="H35" s="265" t="e">
        <f>H32</f>
        <v>#REF!</v>
      </c>
      <c r="K35" s="49"/>
      <c r="R35" s="49"/>
      <c r="S35" s="49"/>
      <c r="T35" s="49"/>
      <c r="U35" s="49"/>
      <c r="V35" s="49"/>
      <c r="W35" s="49"/>
      <c r="X35" s="49"/>
      <c r="Y35" s="49"/>
      <c r="Z35" s="49"/>
    </row>
    <row r="36" spans="1:26">
      <c r="A36" s="167"/>
      <c r="B36" s="166" t="s">
        <v>261</v>
      </c>
      <c r="C36" s="165" t="e">
        <f>C32+C35</f>
        <v>#REF!</v>
      </c>
      <c r="D36" s="164" t="e">
        <f>D35+D32</f>
        <v>#REF!</v>
      </c>
      <c r="E36" s="164" t="e">
        <f>E35+E32</f>
        <v>#REF!</v>
      </c>
      <c r="F36" s="163"/>
      <c r="K36" s="49"/>
      <c r="R36" s="49"/>
      <c r="S36" s="49"/>
      <c r="T36" s="49"/>
      <c r="U36" s="49"/>
      <c r="V36" s="49"/>
      <c r="W36" s="49"/>
      <c r="X36" s="49"/>
      <c r="Y36" s="49"/>
      <c r="Z36" s="49"/>
    </row>
    <row r="37" spans="1:26">
      <c r="I37" s="162"/>
      <c r="K37" s="49"/>
      <c r="R37" s="49"/>
      <c r="S37" s="49"/>
      <c r="T37" s="49"/>
      <c r="U37" s="49"/>
      <c r="V37" s="49"/>
      <c r="W37" s="49"/>
      <c r="X37" s="49"/>
      <c r="Y37" s="49"/>
      <c r="Z37" s="49"/>
    </row>
    <row r="38" spans="1:26">
      <c r="I38" s="162"/>
      <c r="K38" s="49"/>
      <c r="R38" s="49"/>
      <c r="S38" s="49"/>
      <c r="T38" s="49"/>
      <c r="U38" s="49"/>
      <c r="V38" s="49"/>
      <c r="W38" s="49"/>
      <c r="X38" s="49"/>
      <c r="Y38" s="49"/>
      <c r="Z38" s="49"/>
    </row>
    <row r="39" spans="1:26">
      <c r="B39" s="161" t="s">
        <v>214</v>
      </c>
      <c r="C39" s="13" t="s">
        <v>209</v>
      </c>
      <c r="D39" s="132" t="e">
        <f>(D29+D30)</f>
        <v>#REF!</v>
      </c>
      <c r="E39" s="49" t="s">
        <v>213</v>
      </c>
      <c r="K39" s="49"/>
      <c r="R39" s="49"/>
      <c r="S39" s="49"/>
      <c r="T39" s="49"/>
      <c r="U39" s="49"/>
      <c r="V39" s="49"/>
      <c r="W39" s="49"/>
      <c r="X39" s="49"/>
      <c r="Y39" s="49"/>
      <c r="Z39" s="49"/>
    </row>
    <row r="40" spans="1:26" ht="27.6">
      <c r="B40" s="161" t="s">
        <v>212</v>
      </c>
      <c r="C40" s="13" t="s">
        <v>209</v>
      </c>
      <c r="D40" s="132" t="e">
        <f>D35*(D39/D32)</f>
        <v>#REF!</v>
      </c>
      <c r="E40" s="13" t="s">
        <v>211</v>
      </c>
      <c r="K40" s="49"/>
      <c r="R40" s="49"/>
      <c r="S40" s="49"/>
      <c r="T40" s="49"/>
      <c r="U40" s="49"/>
      <c r="V40" s="49"/>
      <c r="W40" s="49"/>
      <c r="X40" s="49"/>
      <c r="Y40" s="49"/>
      <c r="Z40" s="49"/>
    </row>
    <row r="41" spans="1:26" ht="28.2" thickBot="1">
      <c r="B41" s="161" t="s">
        <v>210</v>
      </c>
      <c r="C41" s="13" t="s">
        <v>209</v>
      </c>
      <c r="D41" s="160" t="e">
        <f>D39+D40</f>
        <v>#REF!</v>
      </c>
      <c r="E41" s="13" t="s">
        <v>208</v>
      </c>
      <c r="K41" s="49"/>
      <c r="R41" s="49"/>
      <c r="S41" s="49"/>
      <c r="T41" s="49"/>
      <c r="U41" s="49"/>
      <c r="V41" s="49"/>
      <c r="W41" s="49"/>
      <c r="X41" s="49"/>
      <c r="Y41" s="49"/>
      <c r="Z41" s="49"/>
    </row>
    <row r="42" spans="1:26" ht="14.4" thickTop="1">
      <c r="B42" s="49"/>
      <c r="C42" s="49"/>
      <c r="D42" s="49"/>
      <c r="E42" s="49"/>
      <c r="F42" s="49"/>
      <c r="G42" s="49"/>
      <c r="H42" s="49"/>
      <c r="K42" s="49"/>
      <c r="R42" s="49"/>
      <c r="S42" s="49"/>
      <c r="T42" s="49"/>
      <c r="U42" s="49"/>
      <c r="V42" s="49"/>
      <c r="W42" s="49"/>
      <c r="X42" s="49"/>
      <c r="Y42" s="49"/>
      <c r="Z42" s="49"/>
    </row>
    <row r="43" spans="1:26">
      <c r="B43" s="13" t="s">
        <v>207</v>
      </c>
      <c r="C43" s="49" t="s">
        <v>206</v>
      </c>
      <c r="D43" s="159" t="e">
        <f>#REF!</f>
        <v>#REF!</v>
      </c>
      <c r="E43" s="49" t="s">
        <v>205</v>
      </c>
      <c r="F43" s="49"/>
      <c r="G43" s="49"/>
      <c r="H43" s="49"/>
      <c r="K43" s="49"/>
      <c r="R43" s="49"/>
      <c r="S43" s="49"/>
      <c r="T43" s="49"/>
      <c r="U43" s="49"/>
      <c r="V43" s="49"/>
      <c r="W43" s="49"/>
      <c r="X43" s="49"/>
      <c r="Y43" s="49"/>
      <c r="Z43" s="49"/>
    </row>
    <row r="44" spans="1:26" ht="14.4" thickBot="1">
      <c r="K44" s="49"/>
      <c r="R44" s="49"/>
      <c r="S44" s="49"/>
      <c r="T44" s="49"/>
      <c r="U44" s="49"/>
      <c r="V44" s="49"/>
      <c r="W44" s="49"/>
      <c r="X44" s="49"/>
      <c r="Y44" s="49"/>
      <c r="Z44" s="49"/>
    </row>
    <row r="45" spans="1:26" ht="14.4" thickBot="1">
      <c r="B45" s="13" t="s">
        <v>135</v>
      </c>
      <c r="C45" s="13" t="s">
        <v>97</v>
      </c>
      <c r="D45" s="158" t="e">
        <f>D41/(D43*365)</f>
        <v>#REF!</v>
      </c>
      <c r="E45" s="49" t="s">
        <v>204</v>
      </c>
      <c r="K45" s="49"/>
      <c r="R45" s="49"/>
      <c r="S45" s="49"/>
      <c r="T45" s="49"/>
      <c r="U45" s="49"/>
      <c r="V45" s="49"/>
      <c r="W45" s="49"/>
      <c r="X45" s="49"/>
      <c r="Y45" s="49"/>
      <c r="Z45" s="49"/>
    </row>
    <row r="46" spans="1:26">
      <c r="K46" s="49"/>
      <c r="R46" s="49"/>
      <c r="S46" s="49"/>
      <c r="T46" s="49"/>
      <c r="U46" s="49"/>
      <c r="V46" s="49"/>
      <c r="W46" s="49"/>
      <c r="X46" s="49"/>
      <c r="Y46" s="49"/>
      <c r="Z46" s="49"/>
    </row>
    <row r="47" spans="1:26" s="87" customFormat="1"/>
    <row r="48" spans="1:26">
      <c r="A48" s="49"/>
      <c r="B48" s="150" t="s">
        <v>203</v>
      </c>
      <c r="K48" s="49"/>
    </row>
    <row r="49" spans="1:11">
      <c r="A49" s="49"/>
      <c r="B49" s="157"/>
      <c r="J49" s="156" t="s">
        <v>202</v>
      </c>
      <c r="K49" s="49"/>
    </row>
    <row r="50" spans="1:11">
      <c r="A50" s="49"/>
      <c r="B50" s="150" t="s">
        <v>201</v>
      </c>
      <c r="K50" s="49"/>
    </row>
    <row r="51" spans="1:11">
      <c r="A51" s="49"/>
      <c r="K51" s="49"/>
    </row>
    <row r="52" spans="1:11" ht="66">
      <c r="A52" s="49"/>
      <c r="B52" s="149"/>
      <c r="C52" s="148"/>
      <c r="D52" s="148" t="s">
        <v>200</v>
      </c>
      <c r="E52" s="148" t="s">
        <v>199</v>
      </c>
      <c r="F52" s="148" t="s">
        <v>198</v>
      </c>
      <c r="G52" s="148" t="s">
        <v>197</v>
      </c>
      <c r="H52" s="16"/>
      <c r="K52" s="49"/>
    </row>
    <row r="53" spans="1:11">
      <c r="A53" s="49"/>
      <c r="B53" s="149"/>
      <c r="C53" s="148"/>
      <c r="D53" s="148"/>
      <c r="E53" s="148"/>
      <c r="F53" s="148"/>
      <c r="G53" s="148"/>
      <c r="K53" s="49"/>
    </row>
    <row r="54" spans="1:11">
      <c r="A54" s="49"/>
      <c r="B54" s="147" t="s">
        <v>113</v>
      </c>
      <c r="C54" s="147" t="s">
        <v>112</v>
      </c>
      <c r="D54" s="472" t="s">
        <v>196</v>
      </c>
      <c r="E54" s="472"/>
      <c r="F54" s="472"/>
      <c r="G54" s="472"/>
      <c r="H54" s="94"/>
      <c r="J54" s="105" t="s">
        <v>178</v>
      </c>
      <c r="K54" s="49"/>
    </row>
    <row r="55" spans="1:11">
      <c r="A55" s="49"/>
      <c r="B55" s="145" t="s">
        <v>107</v>
      </c>
      <c r="C55" s="145" t="s">
        <v>106</v>
      </c>
      <c r="D55" s="145"/>
      <c r="E55" s="145"/>
      <c r="F55" s="145"/>
      <c r="G55" s="145"/>
      <c r="I55" s="144" t="s">
        <v>177</v>
      </c>
      <c r="J55" s="144" t="s">
        <v>176</v>
      </c>
      <c r="K55" s="49"/>
    </row>
    <row r="56" spans="1:11">
      <c r="A56" s="49"/>
      <c r="B56" s="145"/>
      <c r="C56" s="145"/>
      <c r="D56" s="145"/>
      <c r="E56" s="145"/>
      <c r="F56" s="145"/>
      <c r="G56" s="145"/>
      <c r="I56" s="144"/>
      <c r="J56" s="144"/>
      <c r="K56" s="49"/>
    </row>
    <row r="57" spans="1:11">
      <c r="A57" s="49"/>
      <c r="B57" s="473">
        <v>50</v>
      </c>
      <c r="C57" s="145">
        <v>50</v>
      </c>
      <c r="D57" s="143">
        <v>0</v>
      </c>
      <c r="E57" s="143">
        <v>1</v>
      </c>
      <c r="F57" s="143">
        <v>0</v>
      </c>
      <c r="G57" s="143">
        <v>0</v>
      </c>
      <c r="I57" s="155">
        <f t="shared" ref="I57:I74" si="0">D57*7+E57*2</f>
        <v>2</v>
      </c>
      <c r="J57" s="155">
        <f t="shared" ref="J57:J74" si="1">F57*12.8+G57*13.8</f>
        <v>0</v>
      </c>
      <c r="K57" s="49"/>
    </row>
    <row r="58" spans="1:11">
      <c r="A58" s="49"/>
      <c r="B58" s="473"/>
      <c r="C58" s="145">
        <v>100</v>
      </c>
      <c r="D58" s="143">
        <v>1</v>
      </c>
      <c r="E58" s="143">
        <v>0</v>
      </c>
      <c r="F58" s="143">
        <v>0.06</v>
      </c>
      <c r="G58" s="143">
        <v>0</v>
      </c>
      <c r="I58" s="155">
        <f t="shared" si="0"/>
        <v>7</v>
      </c>
      <c r="J58" s="155">
        <f t="shared" si="1"/>
        <v>0.76800000000000002</v>
      </c>
      <c r="K58" s="49"/>
    </row>
    <row r="59" spans="1:11">
      <c r="A59" s="49"/>
      <c r="B59" s="473"/>
      <c r="C59" s="145">
        <v>150</v>
      </c>
      <c r="D59" s="143">
        <v>1</v>
      </c>
      <c r="E59" s="143">
        <v>0</v>
      </c>
      <c r="F59" s="143">
        <v>0.19</v>
      </c>
      <c r="G59" s="143">
        <v>0</v>
      </c>
      <c r="I59" s="155">
        <f t="shared" si="0"/>
        <v>7</v>
      </c>
      <c r="J59" s="155">
        <f t="shared" si="1"/>
        <v>2.4320000000000004</v>
      </c>
      <c r="K59" s="49"/>
    </row>
    <row r="60" spans="1:11">
      <c r="A60" s="49"/>
      <c r="B60" s="473"/>
      <c r="C60" s="145">
        <v>200</v>
      </c>
      <c r="D60" s="143">
        <v>1</v>
      </c>
      <c r="E60" s="143">
        <v>0</v>
      </c>
      <c r="F60" s="143">
        <v>0.35</v>
      </c>
      <c r="G60" s="143">
        <v>0</v>
      </c>
      <c r="I60" s="155">
        <f t="shared" si="0"/>
        <v>7</v>
      </c>
      <c r="J60" s="155">
        <f t="shared" si="1"/>
        <v>4.4799999999999995</v>
      </c>
      <c r="K60" s="49"/>
    </row>
    <row r="61" spans="1:11">
      <c r="A61" s="49"/>
      <c r="B61" s="473"/>
      <c r="C61" s="145">
        <v>250</v>
      </c>
      <c r="D61" s="143">
        <v>1</v>
      </c>
      <c r="E61" s="143">
        <v>0</v>
      </c>
      <c r="F61" s="143">
        <v>0.61</v>
      </c>
      <c r="G61" s="143">
        <v>0</v>
      </c>
      <c r="I61" s="155">
        <f t="shared" si="0"/>
        <v>7</v>
      </c>
      <c r="J61" s="155">
        <f t="shared" si="1"/>
        <v>7.8079999999999998</v>
      </c>
      <c r="K61" s="49"/>
    </row>
    <row r="62" spans="1:11">
      <c r="A62" s="49"/>
      <c r="B62" s="473"/>
      <c r="C62" s="145">
        <v>300</v>
      </c>
      <c r="D62" s="143">
        <v>1</v>
      </c>
      <c r="E62" s="143">
        <v>0</v>
      </c>
      <c r="F62" s="143">
        <v>1</v>
      </c>
      <c r="G62" s="143">
        <v>0.01</v>
      </c>
      <c r="I62" s="155">
        <f t="shared" si="0"/>
        <v>7</v>
      </c>
      <c r="J62" s="155">
        <f t="shared" si="1"/>
        <v>12.938000000000001</v>
      </c>
      <c r="K62" s="49"/>
    </row>
    <row r="63" spans="1:11">
      <c r="A63" s="49"/>
      <c r="B63" s="473">
        <v>100</v>
      </c>
      <c r="C63" s="145">
        <v>100</v>
      </c>
      <c r="D63" s="143">
        <v>1</v>
      </c>
      <c r="E63" s="143">
        <v>0</v>
      </c>
      <c r="F63" s="143">
        <v>0.06</v>
      </c>
      <c r="G63" s="143">
        <v>0</v>
      </c>
      <c r="I63" s="155">
        <f t="shared" si="0"/>
        <v>7</v>
      </c>
      <c r="J63" s="155">
        <f t="shared" si="1"/>
        <v>0.76800000000000002</v>
      </c>
      <c r="K63" s="49"/>
    </row>
    <row r="64" spans="1:11">
      <c r="A64" s="49"/>
      <c r="B64" s="473"/>
      <c r="C64" s="145">
        <v>150</v>
      </c>
      <c r="D64" s="143">
        <v>1</v>
      </c>
      <c r="E64" s="143">
        <v>0</v>
      </c>
      <c r="F64" s="143">
        <v>0.2</v>
      </c>
      <c r="G64" s="143">
        <v>0</v>
      </c>
      <c r="I64" s="155">
        <f t="shared" si="0"/>
        <v>7</v>
      </c>
      <c r="J64" s="155">
        <f t="shared" si="1"/>
        <v>2.5600000000000005</v>
      </c>
      <c r="K64" s="49"/>
    </row>
    <row r="65" spans="1:11">
      <c r="A65" s="49"/>
      <c r="B65" s="473"/>
      <c r="C65" s="145">
        <v>200</v>
      </c>
      <c r="D65" s="143">
        <v>1</v>
      </c>
      <c r="E65" s="143">
        <v>0</v>
      </c>
      <c r="F65" s="143">
        <v>0.4</v>
      </c>
      <c r="G65" s="143">
        <v>0</v>
      </c>
      <c r="I65" s="155">
        <f t="shared" si="0"/>
        <v>7</v>
      </c>
      <c r="J65" s="155">
        <f t="shared" si="1"/>
        <v>5.120000000000001</v>
      </c>
      <c r="K65" s="49"/>
    </row>
    <row r="66" spans="1:11">
      <c r="A66" s="49"/>
      <c r="B66" s="473"/>
      <c r="C66" s="145">
        <v>250</v>
      </c>
      <c r="D66" s="143">
        <v>1</v>
      </c>
      <c r="E66" s="143">
        <v>0</v>
      </c>
      <c r="F66" s="143">
        <v>0.78</v>
      </c>
      <c r="G66" s="143">
        <v>0</v>
      </c>
      <c r="I66" s="155">
        <f t="shared" si="0"/>
        <v>7</v>
      </c>
      <c r="J66" s="155">
        <f t="shared" si="1"/>
        <v>9.9840000000000018</v>
      </c>
      <c r="K66" s="49"/>
    </row>
    <row r="67" spans="1:11">
      <c r="A67" s="49"/>
      <c r="B67" s="473"/>
      <c r="C67" s="145">
        <v>300</v>
      </c>
      <c r="D67" s="143">
        <v>1</v>
      </c>
      <c r="E67" s="143">
        <v>0</v>
      </c>
      <c r="F67" s="143">
        <v>1</v>
      </c>
      <c r="G67" s="143">
        <v>0.05</v>
      </c>
      <c r="I67" s="155">
        <f t="shared" si="0"/>
        <v>7</v>
      </c>
      <c r="J67" s="155">
        <f t="shared" si="1"/>
        <v>13.49</v>
      </c>
      <c r="K67" s="49"/>
    </row>
    <row r="68" spans="1:11">
      <c r="A68" s="49"/>
      <c r="B68" s="473">
        <v>150</v>
      </c>
      <c r="C68" s="145">
        <v>150</v>
      </c>
      <c r="D68" s="143">
        <v>1</v>
      </c>
      <c r="E68" s="143">
        <v>0</v>
      </c>
      <c r="F68" s="143">
        <v>0.2</v>
      </c>
      <c r="G68" s="143">
        <v>0</v>
      </c>
      <c r="I68" s="155">
        <f t="shared" si="0"/>
        <v>7</v>
      </c>
      <c r="J68" s="155">
        <f t="shared" si="1"/>
        <v>2.5600000000000005</v>
      </c>
      <c r="K68" s="49"/>
    </row>
    <row r="69" spans="1:11">
      <c r="A69" s="49"/>
      <c r="B69" s="473"/>
      <c r="C69" s="145">
        <v>200</v>
      </c>
      <c r="D69" s="143">
        <v>1</v>
      </c>
      <c r="E69" s="143">
        <v>0</v>
      </c>
      <c r="F69" s="143">
        <v>0.4</v>
      </c>
      <c r="G69" s="143">
        <v>0</v>
      </c>
      <c r="I69" s="155">
        <f t="shared" si="0"/>
        <v>7</v>
      </c>
      <c r="J69" s="155">
        <f t="shared" si="1"/>
        <v>5.120000000000001</v>
      </c>
      <c r="K69" s="49"/>
    </row>
    <row r="70" spans="1:11">
      <c r="A70" s="49"/>
      <c r="B70" s="473"/>
      <c r="C70" s="145">
        <v>250</v>
      </c>
      <c r="D70" s="143">
        <v>1</v>
      </c>
      <c r="E70" s="143">
        <v>0</v>
      </c>
      <c r="F70" s="143">
        <v>0.82</v>
      </c>
      <c r="G70" s="143">
        <v>0</v>
      </c>
      <c r="I70" s="155">
        <f t="shared" si="0"/>
        <v>7</v>
      </c>
      <c r="J70" s="155">
        <f t="shared" si="1"/>
        <v>10.496</v>
      </c>
      <c r="K70" s="49"/>
    </row>
    <row r="71" spans="1:11">
      <c r="A71" s="49"/>
      <c r="B71" s="473"/>
      <c r="C71" s="145">
        <v>300</v>
      </c>
      <c r="D71" s="143">
        <v>1</v>
      </c>
      <c r="E71" s="143">
        <v>0</v>
      </c>
      <c r="F71" s="143">
        <v>1</v>
      </c>
      <c r="G71" s="143">
        <v>0.06</v>
      </c>
      <c r="I71" s="155">
        <f t="shared" si="0"/>
        <v>7</v>
      </c>
      <c r="J71" s="155">
        <f t="shared" si="1"/>
        <v>13.628</v>
      </c>
      <c r="K71" s="49"/>
    </row>
    <row r="72" spans="1:11">
      <c r="A72" s="49"/>
      <c r="B72" s="473">
        <v>200</v>
      </c>
      <c r="C72" s="145">
        <v>200</v>
      </c>
      <c r="D72" s="143">
        <v>1</v>
      </c>
      <c r="E72" s="143">
        <v>0</v>
      </c>
      <c r="F72" s="143">
        <v>0.4</v>
      </c>
      <c r="G72" s="143">
        <v>0</v>
      </c>
      <c r="I72" s="155">
        <f t="shared" si="0"/>
        <v>7</v>
      </c>
      <c r="J72" s="155">
        <f t="shared" si="1"/>
        <v>5.120000000000001</v>
      </c>
      <c r="K72" s="49"/>
    </row>
    <row r="73" spans="1:11">
      <c r="A73" s="49"/>
      <c r="B73" s="473"/>
      <c r="C73" s="145">
        <v>250</v>
      </c>
      <c r="D73" s="143">
        <v>1</v>
      </c>
      <c r="E73" s="143">
        <v>0</v>
      </c>
      <c r="F73" s="143">
        <v>0.82</v>
      </c>
      <c r="G73" s="143">
        <v>0</v>
      </c>
      <c r="I73" s="155">
        <f t="shared" si="0"/>
        <v>7</v>
      </c>
      <c r="J73" s="155">
        <f t="shared" si="1"/>
        <v>10.496</v>
      </c>
      <c r="K73" s="49"/>
    </row>
    <row r="74" spans="1:11">
      <c r="A74" s="49"/>
      <c r="B74" s="473"/>
      <c r="C74" s="145">
        <v>300</v>
      </c>
      <c r="D74" s="143">
        <v>1</v>
      </c>
      <c r="E74" s="143">
        <v>0</v>
      </c>
      <c r="F74" s="143">
        <v>1</v>
      </c>
      <c r="G74" s="143">
        <v>7.0000000000000007E-2</v>
      </c>
      <c r="I74" s="155">
        <f t="shared" si="0"/>
        <v>7</v>
      </c>
      <c r="J74" s="155">
        <f t="shared" si="1"/>
        <v>13.766000000000002</v>
      </c>
      <c r="K74" s="49"/>
    </row>
    <row r="75" spans="1:11">
      <c r="A75" s="49"/>
      <c r="B75" s="49"/>
      <c r="C75" s="49"/>
      <c r="D75" s="49"/>
      <c r="E75" s="49"/>
      <c r="F75" s="49"/>
      <c r="G75" s="49"/>
      <c r="K75" s="49"/>
    </row>
    <row r="76" spans="1:11">
      <c r="A76" s="49"/>
      <c r="B76" s="150" t="s">
        <v>195</v>
      </c>
      <c r="I76" s="49"/>
      <c r="J76" s="49"/>
      <c r="K76" s="49"/>
    </row>
    <row r="77" spans="1:11">
      <c r="A77" s="49"/>
      <c r="B77" s="150"/>
      <c r="K77" s="49"/>
    </row>
    <row r="78" spans="1:11">
      <c r="A78" s="49"/>
      <c r="B78" s="145" t="s">
        <v>194</v>
      </c>
      <c r="C78" s="154" t="s">
        <v>193</v>
      </c>
      <c r="D78" s="154" t="s">
        <v>192</v>
      </c>
      <c r="E78" s="154" t="s">
        <v>191</v>
      </c>
      <c r="F78" s="144" t="s">
        <v>190</v>
      </c>
      <c r="K78" s="49"/>
    </row>
    <row r="79" spans="1:11">
      <c r="A79" s="49"/>
      <c r="B79" s="145" t="s">
        <v>107</v>
      </c>
      <c r="C79" s="16"/>
      <c r="D79" s="16"/>
      <c r="E79" s="16"/>
      <c r="F79" s="153" t="s">
        <v>189</v>
      </c>
      <c r="K79" s="49"/>
    </row>
    <row r="80" spans="1:11">
      <c r="A80" s="49"/>
      <c r="B80" s="145"/>
      <c r="C80" s="16"/>
      <c r="D80" s="16"/>
      <c r="E80" s="16"/>
      <c r="F80" s="48"/>
      <c r="K80" s="49"/>
    </row>
    <row r="81" spans="1:11">
      <c r="A81" s="49"/>
      <c r="B81" s="145">
        <v>50</v>
      </c>
      <c r="C81" s="145">
        <v>24</v>
      </c>
      <c r="D81" s="145" t="s">
        <v>186</v>
      </c>
      <c r="E81" s="145" t="s">
        <v>185</v>
      </c>
      <c r="F81" s="145">
        <v>20.100000000000001</v>
      </c>
      <c r="K81" s="49"/>
    </row>
    <row r="82" spans="1:11">
      <c r="A82" s="49"/>
      <c r="B82" s="145"/>
      <c r="C82" s="145">
        <v>36</v>
      </c>
      <c r="D82" s="145" t="s">
        <v>183</v>
      </c>
      <c r="E82" s="145" t="s">
        <v>188</v>
      </c>
      <c r="F82" s="145">
        <v>25.3</v>
      </c>
      <c r="K82" s="49"/>
    </row>
    <row r="83" spans="1:11" ht="14.4" thickBot="1">
      <c r="A83" s="49"/>
      <c r="B83" s="145"/>
      <c r="C83" s="145"/>
      <c r="D83" s="145"/>
      <c r="E83" s="145"/>
      <c r="F83" s="152">
        <f>F82+F81</f>
        <v>45.400000000000006</v>
      </c>
      <c r="K83" s="49"/>
    </row>
    <row r="84" spans="1:11">
      <c r="A84" s="49"/>
      <c r="B84" s="145"/>
      <c r="C84" s="145"/>
      <c r="D84" s="145"/>
      <c r="E84" s="145"/>
      <c r="F84" s="145"/>
      <c r="K84" s="49"/>
    </row>
    <row r="85" spans="1:11">
      <c r="A85" s="49"/>
      <c r="B85" s="145">
        <v>100</v>
      </c>
      <c r="C85" s="145">
        <v>24</v>
      </c>
      <c r="D85" s="145" t="s">
        <v>186</v>
      </c>
      <c r="E85" s="145" t="s">
        <v>185</v>
      </c>
      <c r="F85" s="145">
        <v>20.100000000000001</v>
      </c>
      <c r="K85" s="49"/>
    </row>
    <row r="86" spans="1:11">
      <c r="A86" s="49"/>
      <c r="B86" s="145"/>
      <c r="C86" s="145">
        <v>36</v>
      </c>
      <c r="D86" s="145" t="s">
        <v>183</v>
      </c>
      <c r="E86" s="145" t="s">
        <v>188</v>
      </c>
      <c r="F86" s="145">
        <v>25.3</v>
      </c>
      <c r="K86" s="49"/>
    </row>
    <row r="87" spans="1:11">
      <c r="A87" s="49"/>
      <c r="B87" s="145"/>
      <c r="C87" s="145">
        <v>36</v>
      </c>
      <c r="D87" s="145" t="s">
        <v>187</v>
      </c>
      <c r="E87" s="145" t="s">
        <v>182</v>
      </c>
      <c r="F87" s="145">
        <v>32.799999999999997</v>
      </c>
      <c r="K87" s="49"/>
    </row>
    <row r="88" spans="1:11" ht="14.4" thickBot="1">
      <c r="A88" s="49"/>
      <c r="B88" s="145"/>
      <c r="C88" s="145"/>
      <c r="D88" s="145"/>
      <c r="E88" s="145"/>
      <c r="F88" s="152">
        <f>SUM(F85:F87)</f>
        <v>78.2</v>
      </c>
      <c r="K88" s="49"/>
    </row>
    <row r="89" spans="1:11">
      <c r="A89" s="49"/>
      <c r="B89" s="145"/>
      <c r="C89" s="145"/>
      <c r="D89" s="145"/>
      <c r="E89" s="145"/>
      <c r="F89" s="145"/>
      <c r="K89" s="49"/>
    </row>
    <row r="90" spans="1:11">
      <c r="A90" s="49"/>
      <c r="B90" s="145">
        <v>150</v>
      </c>
      <c r="C90" s="145">
        <v>36</v>
      </c>
      <c r="D90" s="145" t="s">
        <v>186</v>
      </c>
      <c r="E90" s="145" t="s">
        <v>185</v>
      </c>
      <c r="F90" s="145">
        <v>20.100000000000001</v>
      </c>
      <c r="K90" s="49"/>
    </row>
    <row r="91" spans="1:11">
      <c r="A91" s="49"/>
      <c r="B91" s="145"/>
      <c r="C91" s="145">
        <v>36</v>
      </c>
      <c r="D91" s="145" t="s">
        <v>183</v>
      </c>
      <c r="E91" s="145" t="s">
        <v>184</v>
      </c>
      <c r="F91" s="145">
        <v>103.3</v>
      </c>
      <c r="K91" s="49"/>
    </row>
    <row r="92" spans="1:11" ht="14.4" thickBot="1">
      <c r="A92" s="49"/>
      <c r="B92" s="145"/>
      <c r="C92" s="145"/>
      <c r="D92" s="145"/>
      <c r="E92" s="145"/>
      <c r="F92" s="152">
        <f>F91+F90</f>
        <v>123.4</v>
      </c>
      <c r="K92" s="49"/>
    </row>
    <row r="93" spans="1:11">
      <c r="A93" s="49"/>
      <c r="B93" s="145"/>
      <c r="C93" s="145"/>
      <c r="D93" s="145"/>
      <c r="E93" s="145"/>
      <c r="F93" s="145"/>
      <c r="K93" s="49"/>
    </row>
    <row r="94" spans="1:11">
      <c r="A94" s="49"/>
      <c r="B94" s="145">
        <v>200</v>
      </c>
      <c r="C94" s="145">
        <v>42</v>
      </c>
      <c r="D94" s="145" t="s">
        <v>186</v>
      </c>
      <c r="E94" s="145" t="s">
        <v>185</v>
      </c>
      <c r="F94" s="145">
        <v>20.100000000000001</v>
      </c>
      <c r="K94" s="49"/>
    </row>
    <row r="95" spans="1:11">
      <c r="A95" s="49"/>
      <c r="B95" s="16"/>
      <c r="C95" s="145">
        <v>42</v>
      </c>
      <c r="D95" s="145" t="s">
        <v>182</v>
      </c>
      <c r="E95" s="145" t="s">
        <v>184</v>
      </c>
      <c r="F95" s="145">
        <v>32.700000000000003</v>
      </c>
      <c r="K95" s="49"/>
    </row>
    <row r="96" spans="1:11">
      <c r="A96" s="49"/>
      <c r="C96" s="145">
        <v>48</v>
      </c>
      <c r="D96" s="145" t="s">
        <v>183</v>
      </c>
      <c r="E96" s="145" t="s">
        <v>182</v>
      </c>
      <c r="F96" s="145">
        <v>70.7</v>
      </c>
      <c r="K96" s="49"/>
    </row>
    <row r="97" spans="1:11" ht="14.4" thickBot="1">
      <c r="A97" s="49"/>
      <c r="F97" s="152">
        <f>F96+F95+F94</f>
        <v>123.5</v>
      </c>
      <c r="K97" s="49"/>
    </row>
    <row r="98" spans="1:11">
      <c r="A98" s="49"/>
      <c r="K98" s="49"/>
    </row>
    <row r="99" spans="1:11">
      <c r="A99" s="49"/>
      <c r="B99" s="151"/>
      <c r="C99" s="151"/>
      <c r="D99" s="151"/>
      <c r="E99" s="151"/>
      <c r="F99" s="151"/>
      <c r="G99" s="151"/>
      <c r="H99" s="151"/>
      <c r="K99" s="49"/>
    </row>
    <row r="100" spans="1:11">
      <c r="A100" s="49"/>
      <c r="I100" s="16"/>
      <c r="J100" s="16"/>
      <c r="K100" s="49"/>
    </row>
    <row r="101" spans="1:11">
      <c r="A101" s="49"/>
      <c r="B101" s="150" t="s">
        <v>181</v>
      </c>
      <c r="I101" s="16"/>
      <c r="J101" s="16"/>
      <c r="K101" s="49"/>
    </row>
    <row r="102" spans="1:11">
      <c r="A102" s="49"/>
      <c r="B102" s="150"/>
      <c r="K102" s="49"/>
    </row>
    <row r="103" spans="1:11" ht="52.8">
      <c r="A103" s="49"/>
      <c r="B103" s="149"/>
      <c r="C103" s="148"/>
      <c r="D103" s="148" t="s">
        <v>180</v>
      </c>
      <c r="E103" s="145" t="s">
        <v>179</v>
      </c>
      <c r="G103" s="105" t="s">
        <v>178</v>
      </c>
      <c r="H103" s="16"/>
      <c r="K103" s="49"/>
    </row>
    <row r="104" spans="1:11">
      <c r="A104" s="49"/>
      <c r="B104" s="147" t="s">
        <v>113</v>
      </c>
      <c r="C104" s="147" t="s">
        <v>112</v>
      </c>
      <c r="D104" s="146"/>
      <c r="E104" s="146"/>
      <c r="F104" s="144" t="s">
        <v>177</v>
      </c>
      <c r="G104" s="144" t="s">
        <v>176</v>
      </c>
      <c r="H104" s="94"/>
      <c r="K104" s="49"/>
    </row>
    <row r="105" spans="1:11">
      <c r="A105" s="49"/>
      <c r="B105" s="145" t="s">
        <v>107</v>
      </c>
      <c r="C105" s="145" t="s">
        <v>106</v>
      </c>
      <c r="D105" s="145"/>
      <c r="F105" s="144"/>
      <c r="G105" s="144"/>
      <c r="K105" s="49"/>
    </row>
    <row r="106" spans="1:11">
      <c r="A106" s="49"/>
      <c r="K106" s="49"/>
    </row>
    <row r="107" spans="1:11">
      <c r="A107" s="49"/>
      <c r="B107" s="13">
        <v>50</v>
      </c>
      <c r="D107" s="143">
        <v>1</v>
      </c>
      <c r="F107" s="105">
        <f>D107*1+E107*6</f>
        <v>1</v>
      </c>
      <c r="G107" s="142">
        <v>0</v>
      </c>
      <c r="K107" s="49"/>
    </row>
    <row r="108" spans="1:11">
      <c r="A108" s="49"/>
      <c r="B108" s="13">
        <v>100</v>
      </c>
      <c r="D108" s="143">
        <v>1</v>
      </c>
      <c r="F108" s="105">
        <f>D108*1+E108*6</f>
        <v>1</v>
      </c>
      <c r="G108" s="142">
        <v>0</v>
      </c>
      <c r="K108" s="49"/>
    </row>
    <row r="109" spans="1:11">
      <c r="A109" s="49"/>
      <c r="D109" s="143"/>
      <c r="F109" s="105"/>
      <c r="G109" s="142"/>
      <c r="K109" s="49"/>
    </row>
    <row r="110" spans="1:11">
      <c r="A110" s="49"/>
      <c r="B110" s="13">
        <v>150</v>
      </c>
      <c r="E110" s="143">
        <v>1</v>
      </c>
      <c r="F110" s="105">
        <f>D110*1+E110*6</f>
        <v>6</v>
      </c>
      <c r="G110" s="142">
        <v>0</v>
      </c>
      <c r="K110" s="49"/>
    </row>
    <row r="111" spans="1:11">
      <c r="A111" s="49"/>
      <c r="B111" s="13">
        <v>200</v>
      </c>
      <c r="E111" s="143">
        <v>1</v>
      </c>
      <c r="F111" s="105">
        <f>D111*1+E111*6</f>
        <v>6</v>
      </c>
      <c r="G111" s="142">
        <v>0</v>
      </c>
      <c r="K111" s="49"/>
    </row>
    <row r="112" spans="1:11">
      <c r="A112" s="49"/>
      <c r="K112" s="49"/>
    </row>
    <row r="113" spans="1:28" s="87" customFormat="1"/>
    <row r="114" spans="1:28">
      <c r="A114" s="49"/>
      <c r="K114" s="49"/>
      <c r="T114" s="49"/>
      <c r="U114" s="49"/>
      <c r="V114" s="49"/>
      <c r="W114" s="49"/>
      <c r="X114" s="49"/>
      <c r="Y114" s="49"/>
      <c r="Z114" s="49"/>
      <c r="AA114" s="49"/>
      <c r="AB114" s="49"/>
    </row>
    <row r="115" spans="1:28">
      <c r="A115" s="49"/>
      <c r="K115" s="49"/>
      <c r="T115" s="49"/>
      <c r="U115" s="49"/>
      <c r="V115" s="49"/>
      <c r="W115" s="49"/>
      <c r="X115" s="49"/>
      <c r="Y115" s="49"/>
      <c r="Z115" s="49"/>
      <c r="AA115" s="49"/>
      <c r="AB115" s="49"/>
    </row>
    <row r="116" spans="1:28">
      <c r="A116" s="49"/>
      <c r="K116" s="125" t="s">
        <v>175</v>
      </c>
      <c r="T116" s="49"/>
      <c r="U116" s="49"/>
      <c r="V116" s="49"/>
      <c r="W116" s="49"/>
      <c r="X116" s="49"/>
      <c r="Y116" s="49"/>
      <c r="Z116" s="49"/>
      <c r="AA116" s="49"/>
      <c r="AB116" s="49"/>
    </row>
    <row r="117" spans="1:28">
      <c r="A117" s="49"/>
      <c r="B117" s="124" t="s">
        <v>174</v>
      </c>
      <c r="K117" s="49"/>
      <c r="T117" s="49"/>
      <c r="U117" s="49"/>
      <c r="V117" s="49"/>
      <c r="W117" s="49"/>
      <c r="X117" s="49"/>
      <c r="Y117" s="49"/>
      <c r="Z117" s="49"/>
      <c r="AA117" s="49"/>
      <c r="AB117" s="49"/>
    </row>
    <row r="118" spans="1:28">
      <c r="A118" s="49"/>
      <c r="B118" s="43"/>
      <c r="K118" s="49"/>
      <c r="T118" s="49"/>
      <c r="U118" s="49"/>
      <c r="V118" s="49"/>
      <c r="W118" s="49"/>
      <c r="X118" s="49"/>
      <c r="Y118" s="49"/>
      <c r="Z118" s="49"/>
      <c r="AA118" s="49"/>
      <c r="AB118" s="49"/>
    </row>
    <row r="119" spans="1:28">
      <c r="A119" s="49"/>
      <c r="B119" s="129" t="s">
        <v>173</v>
      </c>
      <c r="C119" s="94"/>
      <c r="D119" s="94"/>
      <c r="E119" s="94"/>
      <c r="K119" s="49"/>
      <c r="T119" s="49"/>
      <c r="U119" s="49"/>
      <c r="V119" s="49"/>
      <c r="W119" s="49"/>
      <c r="X119" s="49"/>
      <c r="Y119" s="49"/>
      <c r="Z119" s="49"/>
      <c r="AA119" s="49"/>
      <c r="AB119" s="49"/>
    </row>
    <row r="120" spans="1:28">
      <c r="A120" s="49"/>
      <c r="B120" s="94" t="s">
        <v>172</v>
      </c>
      <c r="C120" s="94"/>
      <c r="D120" s="107">
        <f>D15</f>
        <v>14101.476000000001</v>
      </c>
      <c r="E120" s="141" t="s">
        <v>171</v>
      </c>
      <c r="K120" s="49"/>
      <c r="T120" s="49"/>
      <c r="U120" s="49"/>
      <c r="V120" s="49"/>
      <c r="W120" s="49"/>
      <c r="X120" s="49"/>
      <c r="Y120" s="49"/>
      <c r="Z120" s="49"/>
      <c r="AA120" s="49"/>
      <c r="AB120" s="49"/>
    </row>
    <row r="121" spans="1:28">
      <c r="A121" s="49"/>
      <c r="B121" s="94" t="s">
        <v>170</v>
      </c>
      <c r="C121" s="94"/>
      <c r="D121" s="107">
        <f>D16</f>
        <v>146</v>
      </c>
      <c r="E121" s="141" t="s">
        <v>169</v>
      </c>
      <c r="T121" s="49"/>
      <c r="U121" s="49"/>
      <c r="V121" s="49"/>
      <c r="W121" s="49"/>
      <c r="X121" s="49"/>
      <c r="Y121" s="49"/>
      <c r="Z121" s="49"/>
      <c r="AA121" s="49"/>
      <c r="AB121" s="49"/>
    </row>
    <row r="122" spans="1:28">
      <c r="A122" s="49"/>
      <c r="B122" s="94" t="s">
        <v>168</v>
      </c>
      <c r="C122" s="94"/>
      <c r="D122" s="107">
        <f>D17</f>
        <v>2337</v>
      </c>
      <c r="E122" s="141" t="s">
        <v>103</v>
      </c>
      <c r="T122" s="49"/>
      <c r="U122" s="49"/>
      <c r="V122" s="49"/>
      <c r="W122" s="49"/>
      <c r="X122" s="49"/>
      <c r="Y122" s="49"/>
      <c r="Z122" s="49"/>
      <c r="AA122" s="49"/>
      <c r="AB122" s="49"/>
    </row>
    <row r="123" spans="1:28">
      <c r="A123" s="49"/>
      <c r="B123" s="94" t="s">
        <v>167</v>
      </c>
      <c r="C123" s="94"/>
      <c r="D123" s="107" t="e">
        <f>D18</f>
        <v>#REF!</v>
      </c>
      <c r="E123" s="141" t="s">
        <v>166</v>
      </c>
      <c r="T123" s="49"/>
      <c r="U123" s="49"/>
      <c r="V123" s="49"/>
      <c r="W123" s="49"/>
      <c r="X123" s="49"/>
      <c r="Y123" s="49"/>
      <c r="Z123" s="49"/>
      <c r="AA123" s="49"/>
      <c r="AB123" s="49"/>
    </row>
    <row r="124" spans="1:28">
      <c r="A124" s="49"/>
      <c r="B124" s="94"/>
      <c r="C124" s="94"/>
      <c r="D124" s="107"/>
      <c r="E124" s="141"/>
      <c r="T124" s="49"/>
      <c r="U124" s="49"/>
      <c r="V124" s="49"/>
      <c r="W124" s="49"/>
      <c r="X124" s="49"/>
      <c r="Y124" s="49"/>
      <c r="Z124" s="49"/>
      <c r="AA124" s="49"/>
      <c r="AB124" s="49"/>
    </row>
    <row r="125" spans="1:28">
      <c r="A125" s="49"/>
      <c r="B125" s="94"/>
      <c r="C125" s="94"/>
      <c r="D125" s="107"/>
      <c r="E125" s="141"/>
      <c r="T125" s="49"/>
      <c r="U125" s="49"/>
      <c r="V125" s="49"/>
      <c r="W125" s="49"/>
      <c r="X125" s="49"/>
      <c r="Y125" s="49"/>
      <c r="Z125" s="49"/>
      <c r="AA125" s="49"/>
      <c r="AB125" s="49"/>
    </row>
    <row r="126" spans="1:28">
      <c r="A126" s="49"/>
      <c r="B126" s="129" t="s">
        <v>165</v>
      </c>
      <c r="C126" s="94"/>
      <c r="D126" s="107"/>
      <c r="E126" s="141"/>
      <c r="T126" s="49"/>
      <c r="U126" s="49"/>
      <c r="V126" s="49"/>
      <c r="W126" s="49"/>
      <c r="X126" s="49"/>
      <c r="Y126" s="49"/>
      <c r="Z126" s="49"/>
      <c r="AA126" s="49"/>
      <c r="AB126" s="49"/>
    </row>
    <row r="127" spans="1:28">
      <c r="A127" s="49"/>
      <c r="B127" s="139" t="s">
        <v>164</v>
      </c>
      <c r="C127" s="139"/>
      <c r="D127" s="138" t="e">
        <f>E36*1000</f>
        <v>#REF!</v>
      </c>
      <c r="E127" s="137" t="s">
        <v>163</v>
      </c>
      <c r="F127" s="49"/>
      <c r="T127" s="49"/>
      <c r="U127" s="49"/>
      <c r="V127" s="49"/>
      <c r="W127" s="49"/>
      <c r="X127" s="49"/>
      <c r="Y127" s="49"/>
      <c r="Z127" s="49"/>
      <c r="AA127" s="49"/>
      <c r="AB127" s="49"/>
    </row>
    <row r="128" spans="1:28">
      <c r="A128" s="49"/>
      <c r="B128" s="139"/>
      <c r="C128" s="139"/>
      <c r="D128" s="139"/>
      <c r="E128" s="140"/>
      <c r="F128" s="49"/>
      <c r="T128" s="49"/>
      <c r="U128" s="49"/>
      <c r="V128" s="49"/>
      <c r="W128" s="49"/>
      <c r="X128" s="49"/>
      <c r="Y128" s="49"/>
      <c r="Z128" s="49"/>
      <c r="AA128" s="49"/>
      <c r="AB128" s="49"/>
    </row>
    <row r="129" spans="1:28">
      <c r="A129" s="49"/>
      <c r="B129" s="139" t="s">
        <v>162</v>
      </c>
      <c r="C129" s="139"/>
      <c r="D129" s="133" t="e">
        <f>'Net Plant'!H8*1000</f>
        <v>#REF!</v>
      </c>
      <c r="E129" s="137" t="s">
        <v>161</v>
      </c>
      <c r="T129" s="49"/>
      <c r="U129" s="49"/>
      <c r="V129" s="49"/>
      <c r="W129" s="49"/>
      <c r="X129" s="49"/>
      <c r="Y129" s="49"/>
      <c r="Z129" s="49"/>
      <c r="AA129" s="49"/>
      <c r="AB129" s="49"/>
    </row>
    <row r="130" spans="1:28">
      <c r="A130" s="49"/>
      <c r="B130" s="139"/>
      <c r="C130" s="139"/>
      <c r="D130" s="138"/>
      <c r="E130" s="137"/>
      <c r="F130" s="49"/>
      <c r="T130" s="49"/>
      <c r="U130" s="49"/>
      <c r="V130" s="49"/>
      <c r="W130" s="49"/>
      <c r="X130" s="49"/>
      <c r="Y130" s="49"/>
      <c r="Z130" s="49"/>
      <c r="AA130" s="49"/>
      <c r="AB130" s="49"/>
    </row>
    <row r="131" spans="1:28">
      <c r="A131" s="49"/>
      <c r="B131" s="94"/>
      <c r="C131" s="94"/>
      <c r="D131" s="136"/>
      <c r="E131" s="102"/>
      <c r="T131" s="49"/>
      <c r="U131" s="49"/>
      <c r="V131" s="49"/>
      <c r="W131" s="49"/>
      <c r="X131" s="49"/>
      <c r="Y131" s="49"/>
      <c r="Z131" s="49"/>
      <c r="AA131" s="49"/>
      <c r="AB131" s="49"/>
    </row>
    <row r="132" spans="1:28">
      <c r="A132" s="49"/>
      <c r="B132" s="94"/>
      <c r="C132" s="94"/>
      <c r="D132" s="105" t="s">
        <v>160</v>
      </c>
      <c r="E132" s="102"/>
      <c r="F132" s="135" t="s">
        <v>159</v>
      </c>
      <c r="T132" s="49"/>
      <c r="U132" s="49"/>
      <c r="V132" s="49"/>
      <c r="W132" s="49"/>
      <c r="X132" s="49"/>
      <c r="Y132" s="49"/>
      <c r="Z132" s="49"/>
      <c r="AA132" s="49"/>
      <c r="AB132" s="49"/>
    </row>
    <row r="133" spans="1:28">
      <c r="A133" s="49"/>
      <c r="B133" s="94"/>
      <c r="C133" s="94"/>
      <c r="D133" s="110" t="s">
        <v>158</v>
      </c>
      <c r="E133" s="102"/>
      <c r="F133" s="110" t="s">
        <v>157</v>
      </c>
      <c r="T133" s="49"/>
      <c r="U133" s="49"/>
      <c r="V133" s="49"/>
      <c r="W133" s="49"/>
      <c r="X133" s="49"/>
      <c r="Y133" s="49"/>
      <c r="Z133" s="49"/>
      <c r="AA133" s="49"/>
      <c r="AB133" s="49"/>
    </row>
    <row r="134" spans="1:28">
      <c r="A134" s="49"/>
      <c r="B134" s="94" t="s">
        <v>156</v>
      </c>
      <c r="C134" s="94"/>
      <c r="D134" s="133" t="e">
        <f>'Net Plant'!H13*1000</f>
        <v>#REF!</v>
      </c>
      <c r="E134" s="102" t="s">
        <v>155</v>
      </c>
      <c r="F134" s="132" t="e">
        <f>D134/$D$129*$D$127</f>
        <v>#REF!</v>
      </c>
      <c r="G134" s="102" t="str">
        <f>"K = ("&amp;E134&amp;"/F) x E"</f>
        <v>K = (G/F) x E</v>
      </c>
      <c r="T134" s="49"/>
      <c r="U134" s="49"/>
      <c r="V134" s="49"/>
      <c r="W134" s="49"/>
      <c r="X134" s="49"/>
      <c r="Y134" s="49"/>
      <c r="Z134" s="49"/>
      <c r="AA134" s="49"/>
      <c r="AB134" s="49"/>
    </row>
    <row r="135" spans="1:28">
      <c r="A135" s="49"/>
      <c r="B135" s="94" t="s">
        <v>154</v>
      </c>
      <c r="C135" s="94"/>
      <c r="D135" s="133" t="e">
        <f>'Net Plant'!H14*1000</f>
        <v>#REF!</v>
      </c>
      <c r="E135" s="102" t="s">
        <v>153</v>
      </c>
      <c r="F135" s="132" t="e">
        <f>D135/$D$129*$D$127</f>
        <v>#REF!</v>
      </c>
      <c r="G135" s="102" t="str">
        <f>"L = ("&amp;E135&amp;"/F) x E"</f>
        <v>L = (H/F) x E</v>
      </c>
      <c r="T135" s="49"/>
      <c r="U135" s="49"/>
      <c r="V135" s="49"/>
      <c r="W135" s="49"/>
      <c r="X135" s="49"/>
      <c r="Y135" s="49"/>
      <c r="Z135" s="49"/>
      <c r="AA135" s="49"/>
      <c r="AB135" s="49"/>
    </row>
    <row r="136" spans="1:28">
      <c r="A136" s="49"/>
      <c r="B136" s="94" t="s">
        <v>152</v>
      </c>
      <c r="C136" s="94"/>
      <c r="D136" s="133" t="e">
        <f>'Net Plant'!H15*1000</f>
        <v>#REF!</v>
      </c>
      <c r="E136" s="102" t="s">
        <v>151</v>
      </c>
      <c r="F136" s="132" t="e">
        <f>D136/$D$129*$D$127</f>
        <v>#REF!</v>
      </c>
      <c r="G136" s="102" t="str">
        <f>"M = ("&amp;E136&amp;"/F) x E"</f>
        <v>M = (I/F) x E</v>
      </c>
      <c r="T136" s="49"/>
      <c r="U136" s="49"/>
      <c r="V136" s="49"/>
      <c r="W136" s="49"/>
      <c r="X136" s="49"/>
      <c r="Y136" s="49"/>
      <c r="Z136" s="49"/>
      <c r="AA136" s="49"/>
      <c r="AB136" s="49"/>
    </row>
    <row r="137" spans="1:28">
      <c r="A137" s="49"/>
      <c r="B137" s="94" t="s">
        <v>150</v>
      </c>
      <c r="C137" s="94"/>
      <c r="D137" s="133" t="e">
        <f>'Net Plant'!H16*1000</f>
        <v>#REF!</v>
      </c>
      <c r="E137" s="102" t="s">
        <v>149</v>
      </c>
      <c r="F137" s="132" t="e">
        <f>D137/$D$129*$D$127</f>
        <v>#REF!</v>
      </c>
      <c r="G137" s="102" t="str">
        <f>"N = ("&amp;E137&amp;"/F) x E"</f>
        <v>N = (J/F) x E</v>
      </c>
      <c r="T137" s="49"/>
      <c r="U137" s="49"/>
      <c r="V137" s="49"/>
      <c r="W137" s="49"/>
      <c r="X137" s="49"/>
      <c r="Y137" s="49"/>
      <c r="Z137" s="49"/>
      <c r="AA137" s="49"/>
      <c r="AB137" s="49"/>
    </row>
    <row r="138" spans="1:28">
      <c r="A138" s="49"/>
      <c r="B138" s="94"/>
      <c r="C138" s="94"/>
      <c r="D138" s="131"/>
      <c r="E138" s="130"/>
      <c r="T138" s="49"/>
      <c r="U138" s="49"/>
      <c r="V138" s="49"/>
      <c r="W138" s="49"/>
      <c r="X138" s="49"/>
      <c r="Y138" s="49"/>
      <c r="Z138" s="49"/>
      <c r="AA138" s="49"/>
      <c r="AB138" s="49"/>
    </row>
    <row r="139" spans="1:28">
      <c r="A139" s="49"/>
      <c r="B139" s="94"/>
      <c r="C139" s="94"/>
      <c r="D139" s="131"/>
      <c r="E139" s="130"/>
      <c r="T139" s="49"/>
      <c r="U139" s="49"/>
      <c r="V139" s="49"/>
      <c r="W139" s="49"/>
      <c r="X139" s="49"/>
      <c r="Y139" s="49"/>
      <c r="Z139" s="49"/>
      <c r="AA139" s="49"/>
      <c r="AB139" s="49"/>
    </row>
    <row r="140" spans="1:28">
      <c r="A140" s="49"/>
      <c r="B140" s="129" t="s">
        <v>148</v>
      </c>
      <c r="C140" s="94"/>
      <c r="D140" s="94"/>
      <c r="E140" s="105"/>
      <c r="T140" s="49"/>
      <c r="U140" s="49"/>
      <c r="V140" s="49"/>
      <c r="W140" s="49"/>
      <c r="X140" s="49"/>
      <c r="Y140" s="49"/>
      <c r="Z140" s="49"/>
      <c r="AA140" s="49"/>
      <c r="AB140" s="49"/>
    </row>
    <row r="141" spans="1:28">
      <c r="A141" s="49"/>
      <c r="B141" s="94" t="s">
        <v>147</v>
      </c>
      <c r="C141" s="94" t="s">
        <v>146</v>
      </c>
      <c r="D141" s="128" t="e">
        <f>F134/D120</f>
        <v>#REF!</v>
      </c>
      <c r="E141" s="102" t="s">
        <v>145</v>
      </c>
      <c r="T141" s="49"/>
      <c r="U141" s="49"/>
      <c r="V141" s="49"/>
      <c r="W141" s="49"/>
      <c r="X141" s="49"/>
      <c r="Y141" s="49"/>
      <c r="Z141" s="49"/>
      <c r="AA141" s="49"/>
      <c r="AB141" s="49"/>
    </row>
    <row r="142" spans="1:28">
      <c r="A142" s="49"/>
      <c r="B142" s="94" t="s">
        <v>144</v>
      </c>
      <c r="C142" s="94" t="s">
        <v>143</v>
      </c>
      <c r="D142" s="128" t="e">
        <f>F135/D121</f>
        <v>#REF!</v>
      </c>
      <c r="E142" s="102" t="s">
        <v>142</v>
      </c>
      <c r="T142" s="49"/>
      <c r="U142" s="49"/>
      <c r="V142" s="49"/>
      <c r="W142" s="49"/>
      <c r="X142" s="49"/>
      <c r="Y142" s="49"/>
      <c r="Z142" s="49"/>
      <c r="AA142" s="49"/>
      <c r="AB142" s="49"/>
    </row>
    <row r="143" spans="1:28">
      <c r="A143" s="49"/>
      <c r="B143" s="94" t="s">
        <v>141</v>
      </c>
      <c r="C143" s="94" t="s">
        <v>140</v>
      </c>
      <c r="D143" s="128" t="e">
        <f>F136/D122</f>
        <v>#REF!</v>
      </c>
      <c r="E143" s="102" t="s">
        <v>139</v>
      </c>
      <c r="T143" s="49"/>
      <c r="U143" s="49"/>
      <c r="V143" s="49"/>
      <c r="W143" s="49"/>
      <c r="X143" s="49"/>
      <c r="Y143" s="49"/>
      <c r="Z143" s="49"/>
      <c r="AA143" s="49"/>
      <c r="AB143" s="49"/>
    </row>
    <row r="144" spans="1:28">
      <c r="A144" s="49"/>
      <c r="B144" s="94" t="s">
        <v>138</v>
      </c>
      <c r="C144" s="94" t="s">
        <v>137</v>
      </c>
      <c r="D144" s="127" t="e">
        <f>F137/D123</f>
        <v>#REF!</v>
      </c>
      <c r="E144" s="102" t="s">
        <v>136</v>
      </c>
      <c r="T144" s="49"/>
      <c r="U144" s="49"/>
      <c r="V144" s="49"/>
      <c r="W144" s="49"/>
      <c r="X144" s="49"/>
      <c r="Y144" s="49"/>
      <c r="Z144" s="49"/>
      <c r="AA144" s="49"/>
      <c r="AB144" s="49"/>
    </row>
    <row r="145" spans="1:28">
      <c r="A145" s="49"/>
      <c r="B145" s="94" t="s">
        <v>135</v>
      </c>
      <c r="C145" s="94" t="s">
        <v>97</v>
      </c>
      <c r="D145" s="126" t="e">
        <f>D45</f>
        <v>#REF!</v>
      </c>
      <c r="E145" s="102" t="s">
        <v>134</v>
      </c>
      <c r="F145" s="94"/>
      <c r="T145" s="49"/>
      <c r="U145" s="49"/>
      <c r="V145" s="49"/>
      <c r="W145" s="49"/>
      <c r="X145" s="49"/>
      <c r="Y145" s="49"/>
      <c r="Z145" s="49"/>
      <c r="AA145" s="49"/>
      <c r="AB145" s="49"/>
    </row>
    <row r="146" spans="1:28">
      <c r="A146" s="49"/>
      <c r="T146" s="49"/>
      <c r="U146" s="49"/>
      <c r="V146" s="49"/>
      <c r="W146" s="49"/>
      <c r="X146" s="49"/>
      <c r="Y146" s="49"/>
      <c r="Z146" s="49"/>
      <c r="AA146" s="49"/>
      <c r="AB146" s="49"/>
    </row>
    <row r="147" spans="1:28">
      <c r="T147" s="49"/>
      <c r="U147" s="49"/>
      <c r="V147" s="49"/>
      <c r="W147" s="49"/>
      <c r="X147" s="49"/>
      <c r="Y147" s="49"/>
      <c r="Z147" s="49"/>
      <c r="AA147" s="49"/>
      <c r="AB147" s="49"/>
    </row>
    <row r="148" spans="1:28" s="87" customFormat="1"/>
    <row r="149" spans="1:28">
      <c r="T149" s="49"/>
      <c r="U149" s="49"/>
      <c r="V149" s="49"/>
      <c r="W149" s="49"/>
      <c r="X149" s="49"/>
      <c r="Y149" s="49"/>
      <c r="Z149" s="49"/>
      <c r="AA149" s="49"/>
      <c r="AB149" s="49"/>
    </row>
    <row r="150" spans="1:28">
      <c r="A150" s="43" t="s">
        <v>133</v>
      </c>
      <c r="B150" s="94"/>
      <c r="C150" s="94"/>
      <c r="D150" s="94"/>
      <c r="E150" s="94"/>
      <c r="F150" s="94"/>
      <c r="G150" s="94"/>
      <c r="H150" s="94"/>
      <c r="I150" s="94"/>
      <c r="J150" s="94"/>
      <c r="K150" s="94"/>
      <c r="L150" s="94"/>
      <c r="M150" s="94"/>
      <c r="N150" s="94"/>
      <c r="T150" s="49"/>
      <c r="U150" s="49"/>
      <c r="V150" s="49"/>
      <c r="W150" s="49"/>
      <c r="X150" s="49"/>
      <c r="Y150" s="49"/>
      <c r="Z150" s="49"/>
      <c r="AA150" s="49"/>
      <c r="AB150" s="49"/>
    </row>
    <row r="151" spans="1:28">
      <c r="A151" s="9" t="s">
        <v>132</v>
      </c>
      <c r="B151" s="94"/>
      <c r="C151" s="94"/>
      <c r="D151" s="94"/>
      <c r="E151" s="94"/>
      <c r="F151" s="94"/>
      <c r="G151" s="94"/>
      <c r="H151" s="94"/>
      <c r="I151" s="94"/>
      <c r="J151" s="94"/>
      <c r="K151" s="125" t="s">
        <v>131</v>
      </c>
      <c r="L151" s="94"/>
      <c r="M151" s="94"/>
      <c r="N151" s="94"/>
      <c r="T151" s="49"/>
      <c r="U151" s="49"/>
      <c r="V151" s="49"/>
      <c r="W151" s="49"/>
      <c r="X151" s="49"/>
      <c r="Y151" s="49"/>
      <c r="Z151" s="49"/>
      <c r="AA151" s="49"/>
      <c r="AB151" s="49"/>
    </row>
    <row r="152" spans="1:28">
      <c r="A152" s="94"/>
      <c r="B152" s="94"/>
      <c r="C152" s="94"/>
      <c r="D152" s="94"/>
      <c r="E152" s="94"/>
      <c r="F152" s="94"/>
      <c r="G152" s="94"/>
      <c r="H152" s="94"/>
      <c r="I152" s="94"/>
      <c r="J152" s="94"/>
      <c r="K152" s="94"/>
      <c r="L152" s="94"/>
      <c r="M152" s="94"/>
      <c r="N152" s="94"/>
    </row>
    <row r="153" spans="1:28">
      <c r="A153" s="124" t="s">
        <v>130</v>
      </c>
      <c r="B153" s="94"/>
      <c r="C153" s="94"/>
      <c r="D153" s="94"/>
      <c r="E153" s="94"/>
      <c r="F153" s="94"/>
      <c r="G153" s="94"/>
      <c r="H153" s="94"/>
      <c r="I153" s="94"/>
      <c r="J153" s="94"/>
      <c r="K153" s="94"/>
      <c r="L153" s="94"/>
      <c r="M153" s="94"/>
      <c r="N153" s="94"/>
    </row>
    <row r="154" spans="1:28">
      <c r="A154" s="124"/>
      <c r="B154" s="94"/>
      <c r="C154" s="94"/>
      <c r="D154" s="94"/>
      <c r="E154" s="94"/>
      <c r="F154" s="94"/>
      <c r="G154" s="94"/>
      <c r="H154" s="94"/>
      <c r="I154" s="94"/>
      <c r="J154" s="94"/>
      <c r="K154" s="94"/>
      <c r="L154" s="94"/>
      <c r="M154" s="94"/>
      <c r="N154" s="94"/>
    </row>
    <row r="155" spans="1:28" ht="15.6">
      <c r="A155" s="123" t="s">
        <v>129</v>
      </c>
      <c r="B155" s="94"/>
      <c r="C155" s="94"/>
      <c r="D155" s="94"/>
      <c r="E155" s="94"/>
      <c r="F155" s="94"/>
      <c r="G155" s="94"/>
      <c r="H155" s="94"/>
      <c r="I155" s="94"/>
      <c r="J155" s="94"/>
      <c r="K155" s="94"/>
      <c r="L155" s="94"/>
      <c r="M155" s="94"/>
      <c r="N155" s="94"/>
    </row>
    <row r="156" spans="1:28">
      <c r="A156" s="9"/>
      <c r="B156" s="94"/>
      <c r="C156" s="94"/>
      <c r="D156" s="94"/>
      <c r="E156" s="94"/>
      <c r="F156" s="94"/>
      <c r="G156" s="94"/>
      <c r="H156" s="94"/>
      <c r="I156" s="94"/>
      <c r="J156" s="94"/>
      <c r="K156" s="94"/>
      <c r="L156" s="94"/>
      <c r="M156" s="94"/>
      <c r="N156" s="94"/>
    </row>
    <row r="157" spans="1:28" ht="16.2" thickBot="1">
      <c r="A157" s="113" t="s">
        <v>128</v>
      </c>
      <c r="B157" s="94"/>
      <c r="C157" s="94"/>
      <c r="D157" s="94"/>
      <c r="E157" s="94"/>
      <c r="F157" s="94"/>
      <c r="G157" s="94"/>
      <c r="H157" s="94"/>
      <c r="I157" s="94"/>
      <c r="J157" s="94"/>
      <c r="K157" s="94"/>
      <c r="L157" s="94"/>
      <c r="M157" s="94"/>
      <c r="N157" s="94"/>
    </row>
    <row r="158" spans="1:28" ht="14.4" thickBot="1">
      <c r="A158" s="94"/>
      <c r="B158" s="94"/>
      <c r="C158" s="94"/>
      <c r="D158" s="94"/>
      <c r="E158" s="94"/>
      <c r="F158" s="94"/>
      <c r="G158" s="105" t="s">
        <v>121</v>
      </c>
      <c r="H158" s="94"/>
      <c r="I158" s="94"/>
      <c r="J158" s="112" t="s">
        <v>120</v>
      </c>
      <c r="K158" s="91"/>
      <c r="L158" s="111"/>
      <c r="M158" s="94"/>
      <c r="N158" s="94"/>
    </row>
    <row r="159" spans="1:28">
      <c r="A159" s="105"/>
      <c r="B159" s="105"/>
      <c r="C159" s="105" t="s">
        <v>117</v>
      </c>
      <c r="D159" s="105" t="s">
        <v>119</v>
      </c>
      <c r="E159" s="105" t="s">
        <v>118</v>
      </c>
      <c r="F159" s="105" t="s">
        <v>117</v>
      </c>
      <c r="G159" s="105" t="s">
        <v>116</v>
      </c>
      <c r="H159" s="105" t="s">
        <v>115</v>
      </c>
      <c r="I159" s="105"/>
      <c r="J159" s="105" t="s">
        <v>110</v>
      </c>
      <c r="K159" s="105" t="s">
        <v>114</v>
      </c>
      <c r="L159" s="94"/>
      <c r="M159" s="94"/>
      <c r="N159" s="94"/>
    </row>
    <row r="160" spans="1:28">
      <c r="A160" s="110" t="s">
        <v>113</v>
      </c>
      <c r="B160" s="110" t="s">
        <v>112</v>
      </c>
      <c r="C160" s="110" t="s">
        <v>111</v>
      </c>
      <c r="D160" s="110" t="s">
        <v>111</v>
      </c>
      <c r="E160" s="110" t="s">
        <v>111</v>
      </c>
      <c r="F160" s="110" t="s">
        <v>110</v>
      </c>
      <c r="G160" s="110" t="s">
        <v>110</v>
      </c>
      <c r="H160" s="110" t="s">
        <v>110</v>
      </c>
      <c r="I160" s="110" t="s">
        <v>110</v>
      </c>
      <c r="J160" s="110" t="s">
        <v>109</v>
      </c>
      <c r="K160" s="110" t="s">
        <v>108</v>
      </c>
      <c r="L160" s="110" t="s">
        <v>1</v>
      </c>
      <c r="M160" s="94"/>
      <c r="N160" s="94"/>
    </row>
    <row r="161" spans="1:15">
      <c r="A161" s="105" t="s">
        <v>107</v>
      </c>
      <c r="B161" s="105" t="s">
        <v>106</v>
      </c>
      <c r="C161" s="105"/>
      <c r="D161" s="105"/>
      <c r="E161" s="105"/>
      <c r="F161" s="105" t="s">
        <v>105</v>
      </c>
      <c r="G161" s="105" t="s">
        <v>105</v>
      </c>
      <c r="H161" s="105" t="s">
        <v>105</v>
      </c>
      <c r="I161" s="105" t="s">
        <v>105</v>
      </c>
      <c r="J161" s="105" t="s">
        <v>104</v>
      </c>
      <c r="K161" s="105" t="s">
        <v>104</v>
      </c>
      <c r="L161" s="105" t="s">
        <v>104</v>
      </c>
      <c r="M161" s="94"/>
      <c r="N161" s="94"/>
    </row>
    <row r="162" spans="1:15">
      <c r="A162" s="94"/>
      <c r="B162" s="94"/>
      <c r="C162" s="94"/>
      <c r="D162" s="94"/>
      <c r="E162" s="94"/>
      <c r="F162" s="94"/>
      <c r="G162" s="94"/>
      <c r="H162" s="94"/>
      <c r="I162" s="94"/>
      <c r="J162" s="94"/>
      <c r="K162" s="94"/>
      <c r="L162" s="94"/>
      <c r="M162" s="94"/>
      <c r="N162" s="94"/>
    </row>
    <row r="163" spans="1:15">
      <c r="A163" s="94">
        <f>B57</f>
        <v>50</v>
      </c>
      <c r="B163" s="94">
        <f>C57</f>
        <v>50</v>
      </c>
      <c r="C163" s="94">
        <v>1</v>
      </c>
      <c r="D163" s="94">
        <f>'SNB-2016'!I57</f>
        <v>2</v>
      </c>
      <c r="E163" s="109">
        <f>'SNB-2016'!J57</f>
        <v>0</v>
      </c>
      <c r="F163" s="108" t="e">
        <f t="shared" ref="F163:F180" si="2">(C163*$D$142)+(D163*$D$143)</f>
        <v>#REF!</v>
      </c>
      <c r="G163" s="108" t="e">
        <f t="shared" ref="G163:G180" si="3">$D$144*A163*1000</f>
        <v>#REF!</v>
      </c>
      <c r="H163" s="108" t="e">
        <f t="shared" ref="H163:H180" si="4">E163*$D$141</f>
        <v>#REF!</v>
      </c>
      <c r="I163" s="107" t="e">
        <f t="shared" ref="I163:I180" si="5">F163+G163+H163</f>
        <v>#REF!</v>
      </c>
      <c r="J163" s="106" t="e">
        <f t="shared" ref="J163:J180" si="6">I163/A163/365/1000</f>
        <v>#REF!</v>
      </c>
      <c r="K163" s="106" t="e">
        <f t="shared" ref="K163:K180" si="7">$D$45</f>
        <v>#REF!</v>
      </c>
      <c r="L163" s="106" t="e">
        <f t="shared" ref="L163:L180" si="8">K163+J163</f>
        <v>#REF!</v>
      </c>
      <c r="M163" s="94"/>
      <c r="N163" s="94"/>
    </row>
    <row r="164" spans="1:15">
      <c r="A164" s="94">
        <f>A163</f>
        <v>50</v>
      </c>
      <c r="B164" s="94">
        <f t="shared" ref="B164:B180" si="9">C58</f>
        <v>100</v>
      </c>
      <c r="C164" s="94">
        <v>1</v>
      </c>
      <c r="D164" s="94">
        <f>'SNB-2016'!I58</f>
        <v>7</v>
      </c>
      <c r="E164" s="109">
        <f>'SNB-2016'!J58</f>
        <v>0.76800000000000002</v>
      </c>
      <c r="F164" s="108" t="e">
        <f t="shared" si="2"/>
        <v>#REF!</v>
      </c>
      <c r="G164" s="108" t="e">
        <f t="shared" si="3"/>
        <v>#REF!</v>
      </c>
      <c r="H164" s="108" t="e">
        <f t="shared" si="4"/>
        <v>#REF!</v>
      </c>
      <c r="I164" s="107" t="e">
        <f t="shared" si="5"/>
        <v>#REF!</v>
      </c>
      <c r="J164" s="106" t="e">
        <f t="shared" si="6"/>
        <v>#REF!</v>
      </c>
      <c r="K164" s="106" t="e">
        <f t="shared" si="7"/>
        <v>#REF!</v>
      </c>
      <c r="L164" s="106" t="e">
        <f t="shared" si="8"/>
        <v>#REF!</v>
      </c>
      <c r="M164" s="94"/>
      <c r="N164" s="122"/>
      <c r="O164" s="121"/>
    </row>
    <row r="165" spans="1:15">
      <c r="A165" s="94">
        <f>A164</f>
        <v>50</v>
      </c>
      <c r="B165" s="94">
        <f t="shared" si="9"/>
        <v>150</v>
      </c>
      <c r="C165" s="94">
        <v>1</v>
      </c>
      <c r="D165" s="94">
        <f>'SNB-2016'!I59</f>
        <v>7</v>
      </c>
      <c r="E165" s="109">
        <f>'SNB-2016'!J59</f>
        <v>2.4320000000000004</v>
      </c>
      <c r="F165" s="108" t="e">
        <f t="shared" si="2"/>
        <v>#REF!</v>
      </c>
      <c r="G165" s="108" t="e">
        <f t="shared" si="3"/>
        <v>#REF!</v>
      </c>
      <c r="H165" s="108" t="e">
        <f t="shared" si="4"/>
        <v>#REF!</v>
      </c>
      <c r="I165" s="107" t="e">
        <f t="shared" si="5"/>
        <v>#REF!</v>
      </c>
      <c r="J165" s="106" t="e">
        <f t="shared" si="6"/>
        <v>#REF!</v>
      </c>
      <c r="K165" s="106" t="e">
        <f t="shared" si="7"/>
        <v>#REF!</v>
      </c>
      <c r="L165" s="106" t="e">
        <f t="shared" si="8"/>
        <v>#REF!</v>
      </c>
      <c r="M165" s="94"/>
      <c r="N165" s="122"/>
      <c r="O165" s="121"/>
    </row>
    <row r="166" spans="1:15">
      <c r="A166" s="94">
        <f>A165</f>
        <v>50</v>
      </c>
      <c r="B166" s="94">
        <f t="shared" si="9"/>
        <v>200</v>
      </c>
      <c r="C166" s="94">
        <v>1</v>
      </c>
      <c r="D166" s="94">
        <f>'SNB-2016'!I60</f>
        <v>7</v>
      </c>
      <c r="E166" s="109">
        <f>'SNB-2016'!J60</f>
        <v>4.4799999999999995</v>
      </c>
      <c r="F166" s="108" t="e">
        <f t="shared" si="2"/>
        <v>#REF!</v>
      </c>
      <c r="G166" s="108" t="e">
        <f t="shared" si="3"/>
        <v>#REF!</v>
      </c>
      <c r="H166" s="108" t="e">
        <f t="shared" si="4"/>
        <v>#REF!</v>
      </c>
      <c r="I166" s="107" t="e">
        <f t="shared" si="5"/>
        <v>#REF!</v>
      </c>
      <c r="J166" s="106" t="e">
        <f t="shared" si="6"/>
        <v>#REF!</v>
      </c>
      <c r="K166" s="106" t="e">
        <f t="shared" si="7"/>
        <v>#REF!</v>
      </c>
      <c r="L166" s="106" t="e">
        <f t="shared" si="8"/>
        <v>#REF!</v>
      </c>
      <c r="M166" s="94"/>
      <c r="N166" s="122"/>
      <c r="O166" s="121"/>
    </row>
    <row r="167" spans="1:15">
      <c r="A167" s="94">
        <f>A166</f>
        <v>50</v>
      </c>
      <c r="B167" s="94">
        <f t="shared" si="9"/>
        <v>250</v>
      </c>
      <c r="C167" s="94">
        <v>1</v>
      </c>
      <c r="D167" s="94">
        <f>'SNB-2016'!I61</f>
        <v>7</v>
      </c>
      <c r="E167" s="109">
        <f>'SNB-2016'!J61</f>
        <v>7.8079999999999998</v>
      </c>
      <c r="F167" s="108" t="e">
        <f t="shared" si="2"/>
        <v>#REF!</v>
      </c>
      <c r="G167" s="108" t="e">
        <f t="shared" si="3"/>
        <v>#REF!</v>
      </c>
      <c r="H167" s="108" t="e">
        <f t="shared" si="4"/>
        <v>#REF!</v>
      </c>
      <c r="I167" s="107" t="e">
        <f t="shared" si="5"/>
        <v>#REF!</v>
      </c>
      <c r="J167" s="106" t="e">
        <f t="shared" si="6"/>
        <v>#REF!</v>
      </c>
      <c r="K167" s="106" t="e">
        <f t="shared" si="7"/>
        <v>#REF!</v>
      </c>
      <c r="L167" s="106" t="e">
        <f t="shared" si="8"/>
        <v>#REF!</v>
      </c>
      <c r="M167" s="94"/>
      <c r="N167" s="122"/>
      <c r="O167" s="121"/>
    </row>
    <row r="168" spans="1:15">
      <c r="A168" s="94">
        <f>A167</f>
        <v>50</v>
      </c>
      <c r="B168" s="94">
        <f t="shared" si="9"/>
        <v>300</v>
      </c>
      <c r="C168" s="94">
        <v>1</v>
      </c>
      <c r="D168" s="94">
        <f>'SNB-2016'!I62</f>
        <v>7</v>
      </c>
      <c r="E168" s="109">
        <f>'SNB-2016'!J62</f>
        <v>12.938000000000001</v>
      </c>
      <c r="F168" s="108" t="e">
        <f t="shared" si="2"/>
        <v>#REF!</v>
      </c>
      <c r="G168" s="108" t="e">
        <f t="shared" si="3"/>
        <v>#REF!</v>
      </c>
      <c r="H168" s="108" t="e">
        <f t="shared" si="4"/>
        <v>#REF!</v>
      </c>
      <c r="I168" s="107" t="e">
        <f t="shared" si="5"/>
        <v>#REF!</v>
      </c>
      <c r="J168" s="106" t="e">
        <f t="shared" si="6"/>
        <v>#REF!</v>
      </c>
      <c r="K168" s="106" t="e">
        <f t="shared" si="7"/>
        <v>#REF!</v>
      </c>
      <c r="L168" s="106" t="e">
        <f t="shared" si="8"/>
        <v>#REF!</v>
      </c>
      <c r="M168" s="94"/>
      <c r="N168" s="122"/>
      <c r="O168" s="121"/>
    </row>
    <row r="169" spans="1:15">
      <c r="A169" s="94">
        <f>B63</f>
        <v>100</v>
      </c>
      <c r="B169" s="94">
        <f t="shared" si="9"/>
        <v>100</v>
      </c>
      <c r="C169" s="94">
        <v>1</v>
      </c>
      <c r="D169" s="94">
        <f>'SNB-2016'!I63</f>
        <v>7</v>
      </c>
      <c r="E169" s="109">
        <f>'SNB-2016'!J63</f>
        <v>0.76800000000000002</v>
      </c>
      <c r="F169" s="108" t="e">
        <f t="shared" si="2"/>
        <v>#REF!</v>
      </c>
      <c r="G169" s="108" t="e">
        <f t="shared" si="3"/>
        <v>#REF!</v>
      </c>
      <c r="H169" s="108" t="e">
        <f t="shared" si="4"/>
        <v>#REF!</v>
      </c>
      <c r="I169" s="107" t="e">
        <f t="shared" si="5"/>
        <v>#REF!</v>
      </c>
      <c r="J169" s="106" t="e">
        <f t="shared" si="6"/>
        <v>#REF!</v>
      </c>
      <c r="K169" s="106" t="e">
        <f t="shared" si="7"/>
        <v>#REF!</v>
      </c>
      <c r="L169" s="106" t="e">
        <f t="shared" si="8"/>
        <v>#REF!</v>
      </c>
      <c r="M169" s="94"/>
      <c r="N169" s="122"/>
      <c r="O169" s="121"/>
    </row>
    <row r="170" spans="1:15">
      <c r="A170" s="94">
        <f>A169</f>
        <v>100</v>
      </c>
      <c r="B170" s="94">
        <f t="shared" si="9"/>
        <v>150</v>
      </c>
      <c r="C170" s="94">
        <v>1</v>
      </c>
      <c r="D170" s="94">
        <f>'SNB-2016'!I64</f>
        <v>7</v>
      </c>
      <c r="E170" s="109">
        <f>'SNB-2016'!J64</f>
        <v>2.5600000000000005</v>
      </c>
      <c r="F170" s="108" t="e">
        <f t="shared" si="2"/>
        <v>#REF!</v>
      </c>
      <c r="G170" s="108" t="e">
        <f t="shared" si="3"/>
        <v>#REF!</v>
      </c>
      <c r="H170" s="108" t="e">
        <f t="shared" si="4"/>
        <v>#REF!</v>
      </c>
      <c r="I170" s="107" t="e">
        <f t="shared" si="5"/>
        <v>#REF!</v>
      </c>
      <c r="J170" s="106" t="e">
        <f t="shared" si="6"/>
        <v>#REF!</v>
      </c>
      <c r="K170" s="106" t="e">
        <f t="shared" si="7"/>
        <v>#REF!</v>
      </c>
      <c r="L170" s="106" t="e">
        <f t="shared" si="8"/>
        <v>#REF!</v>
      </c>
      <c r="M170" s="94"/>
      <c r="N170" s="122"/>
      <c r="O170" s="121"/>
    </row>
    <row r="171" spans="1:15">
      <c r="A171" s="94">
        <f>A170</f>
        <v>100</v>
      </c>
      <c r="B171" s="94">
        <f t="shared" si="9"/>
        <v>200</v>
      </c>
      <c r="C171" s="94">
        <v>1</v>
      </c>
      <c r="D171" s="94">
        <f>'SNB-2016'!I65</f>
        <v>7</v>
      </c>
      <c r="E171" s="109">
        <f>'SNB-2016'!J65</f>
        <v>5.120000000000001</v>
      </c>
      <c r="F171" s="108" t="e">
        <f t="shared" si="2"/>
        <v>#REF!</v>
      </c>
      <c r="G171" s="108" t="e">
        <f t="shared" si="3"/>
        <v>#REF!</v>
      </c>
      <c r="H171" s="108" t="e">
        <f t="shared" si="4"/>
        <v>#REF!</v>
      </c>
      <c r="I171" s="107" t="e">
        <f t="shared" si="5"/>
        <v>#REF!</v>
      </c>
      <c r="J171" s="106" t="e">
        <f t="shared" si="6"/>
        <v>#REF!</v>
      </c>
      <c r="K171" s="106" t="e">
        <f t="shared" si="7"/>
        <v>#REF!</v>
      </c>
      <c r="L171" s="106" t="e">
        <f t="shared" si="8"/>
        <v>#REF!</v>
      </c>
      <c r="M171" s="94"/>
      <c r="N171" s="122"/>
      <c r="O171" s="121"/>
    </row>
    <row r="172" spans="1:15">
      <c r="A172" s="94">
        <f>A171</f>
        <v>100</v>
      </c>
      <c r="B172" s="94">
        <f t="shared" si="9"/>
        <v>250</v>
      </c>
      <c r="C172" s="94">
        <v>1</v>
      </c>
      <c r="D172" s="94">
        <f>'SNB-2016'!I66</f>
        <v>7</v>
      </c>
      <c r="E172" s="109">
        <f>'SNB-2016'!J66</f>
        <v>9.9840000000000018</v>
      </c>
      <c r="F172" s="108" t="e">
        <f t="shared" si="2"/>
        <v>#REF!</v>
      </c>
      <c r="G172" s="108" t="e">
        <f t="shared" si="3"/>
        <v>#REF!</v>
      </c>
      <c r="H172" s="108" t="e">
        <f t="shared" si="4"/>
        <v>#REF!</v>
      </c>
      <c r="I172" s="107" t="e">
        <f t="shared" si="5"/>
        <v>#REF!</v>
      </c>
      <c r="J172" s="106" t="e">
        <f t="shared" si="6"/>
        <v>#REF!</v>
      </c>
      <c r="K172" s="106" t="e">
        <f t="shared" si="7"/>
        <v>#REF!</v>
      </c>
      <c r="L172" s="106" t="e">
        <f t="shared" si="8"/>
        <v>#REF!</v>
      </c>
      <c r="M172" s="94"/>
      <c r="N172" s="122"/>
      <c r="O172" s="121"/>
    </row>
    <row r="173" spans="1:15">
      <c r="A173" s="94">
        <f>A172</f>
        <v>100</v>
      </c>
      <c r="B173" s="94">
        <f t="shared" si="9"/>
        <v>300</v>
      </c>
      <c r="C173" s="94">
        <v>1</v>
      </c>
      <c r="D173" s="94">
        <f>'SNB-2016'!I67</f>
        <v>7</v>
      </c>
      <c r="E173" s="109">
        <f>'SNB-2016'!J67</f>
        <v>13.49</v>
      </c>
      <c r="F173" s="108" t="e">
        <f t="shared" si="2"/>
        <v>#REF!</v>
      </c>
      <c r="G173" s="108" t="e">
        <f t="shared" si="3"/>
        <v>#REF!</v>
      </c>
      <c r="H173" s="108" t="e">
        <f t="shared" si="4"/>
        <v>#REF!</v>
      </c>
      <c r="I173" s="107" t="e">
        <f t="shared" si="5"/>
        <v>#REF!</v>
      </c>
      <c r="J173" s="106" t="e">
        <f t="shared" si="6"/>
        <v>#REF!</v>
      </c>
      <c r="K173" s="106" t="e">
        <f t="shared" si="7"/>
        <v>#REF!</v>
      </c>
      <c r="L173" s="106" t="e">
        <f t="shared" si="8"/>
        <v>#REF!</v>
      </c>
      <c r="M173" s="94"/>
      <c r="N173" s="122"/>
      <c r="O173" s="121"/>
    </row>
    <row r="174" spans="1:15">
      <c r="A174" s="94">
        <f>B68</f>
        <v>150</v>
      </c>
      <c r="B174" s="94">
        <f t="shared" si="9"/>
        <v>150</v>
      </c>
      <c r="C174" s="94">
        <v>1</v>
      </c>
      <c r="D174" s="94">
        <f>'SNB-2016'!I68</f>
        <v>7</v>
      </c>
      <c r="E174" s="109">
        <f>'SNB-2016'!J68</f>
        <v>2.5600000000000005</v>
      </c>
      <c r="F174" s="108" t="e">
        <f t="shared" si="2"/>
        <v>#REF!</v>
      </c>
      <c r="G174" s="108" t="e">
        <f t="shared" si="3"/>
        <v>#REF!</v>
      </c>
      <c r="H174" s="108" t="e">
        <f t="shared" si="4"/>
        <v>#REF!</v>
      </c>
      <c r="I174" s="107" t="e">
        <f t="shared" si="5"/>
        <v>#REF!</v>
      </c>
      <c r="J174" s="106" t="e">
        <f t="shared" si="6"/>
        <v>#REF!</v>
      </c>
      <c r="K174" s="106" t="e">
        <f t="shared" si="7"/>
        <v>#REF!</v>
      </c>
      <c r="L174" s="106" t="e">
        <f t="shared" si="8"/>
        <v>#REF!</v>
      </c>
      <c r="M174" s="94"/>
      <c r="N174" s="122"/>
      <c r="O174" s="121"/>
    </row>
    <row r="175" spans="1:15">
      <c r="A175" s="94">
        <f>A174</f>
        <v>150</v>
      </c>
      <c r="B175" s="94">
        <f t="shared" si="9"/>
        <v>200</v>
      </c>
      <c r="C175" s="94">
        <v>1</v>
      </c>
      <c r="D175" s="94">
        <f>'SNB-2016'!I69</f>
        <v>7</v>
      </c>
      <c r="E175" s="109">
        <f>'SNB-2016'!J69</f>
        <v>5.120000000000001</v>
      </c>
      <c r="F175" s="108" t="e">
        <f t="shared" si="2"/>
        <v>#REF!</v>
      </c>
      <c r="G175" s="108" t="e">
        <f t="shared" si="3"/>
        <v>#REF!</v>
      </c>
      <c r="H175" s="108" t="e">
        <f t="shared" si="4"/>
        <v>#REF!</v>
      </c>
      <c r="I175" s="107" t="e">
        <f t="shared" si="5"/>
        <v>#REF!</v>
      </c>
      <c r="J175" s="106" t="e">
        <f t="shared" si="6"/>
        <v>#REF!</v>
      </c>
      <c r="K175" s="106" t="e">
        <f t="shared" si="7"/>
        <v>#REF!</v>
      </c>
      <c r="L175" s="106" t="e">
        <f t="shared" si="8"/>
        <v>#REF!</v>
      </c>
      <c r="M175" s="94"/>
      <c r="N175" s="122"/>
      <c r="O175" s="121"/>
    </row>
    <row r="176" spans="1:15">
      <c r="A176" s="94">
        <f>A175</f>
        <v>150</v>
      </c>
      <c r="B176" s="94">
        <f t="shared" si="9"/>
        <v>250</v>
      </c>
      <c r="C176" s="94">
        <v>1</v>
      </c>
      <c r="D176" s="94">
        <f>'SNB-2016'!I70</f>
        <v>7</v>
      </c>
      <c r="E176" s="109">
        <f>'SNB-2016'!J70</f>
        <v>10.496</v>
      </c>
      <c r="F176" s="108" t="e">
        <f t="shared" si="2"/>
        <v>#REF!</v>
      </c>
      <c r="G176" s="108" t="e">
        <f t="shared" si="3"/>
        <v>#REF!</v>
      </c>
      <c r="H176" s="108" t="e">
        <f t="shared" si="4"/>
        <v>#REF!</v>
      </c>
      <c r="I176" s="107" t="e">
        <f t="shared" si="5"/>
        <v>#REF!</v>
      </c>
      <c r="J176" s="106" t="e">
        <f t="shared" si="6"/>
        <v>#REF!</v>
      </c>
      <c r="K176" s="106" t="e">
        <f t="shared" si="7"/>
        <v>#REF!</v>
      </c>
      <c r="L176" s="106" t="e">
        <f t="shared" si="8"/>
        <v>#REF!</v>
      </c>
      <c r="M176" s="94"/>
      <c r="N176" s="122"/>
      <c r="O176" s="121"/>
    </row>
    <row r="177" spans="1:15">
      <c r="A177" s="94">
        <f>A176</f>
        <v>150</v>
      </c>
      <c r="B177" s="94">
        <f t="shared" si="9"/>
        <v>300</v>
      </c>
      <c r="C177" s="94">
        <v>1</v>
      </c>
      <c r="D177" s="94">
        <f>'SNB-2016'!I71</f>
        <v>7</v>
      </c>
      <c r="E177" s="109">
        <f>'SNB-2016'!J71</f>
        <v>13.628</v>
      </c>
      <c r="F177" s="108" t="e">
        <f t="shared" si="2"/>
        <v>#REF!</v>
      </c>
      <c r="G177" s="108" t="e">
        <f t="shared" si="3"/>
        <v>#REF!</v>
      </c>
      <c r="H177" s="108" t="e">
        <f t="shared" si="4"/>
        <v>#REF!</v>
      </c>
      <c r="I177" s="107" t="e">
        <f t="shared" si="5"/>
        <v>#REF!</v>
      </c>
      <c r="J177" s="106" t="e">
        <f t="shared" si="6"/>
        <v>#REF!</v>
      </c>
      <c r="K177" s="106" t="e">
        <f t="shared" si="7"/>
        <v>#REF!</v>
      </c>
      <c r="L177" s="106" t="e">
        <f t="shared" si="8"/>
        <v>#REF!</v>
      </c>
      <c r="M177" s="94"/>
      <c r="N177" s="122"/>
      <c r="O177" s="121"/>
    </row>
    <row r="178" spans="1:15">
      <c r="A178" s="94">
        <f>B72</f>
        <v>200</v>
      </c>
      <c r="B178" s="94">
        <f t="shared" si="9"/>
        <v>200</v>
      </c>
      <c r="C178" s="94">
        <v>1</v>
      </c>
      <c r="D178" s="94">
        <f>'SNB-2016'!I72</f>
        <v>7</v>
      </c>
      <c r="E178" s="109">
        <f>'SNB-2016'!J72</f>
        <v>5.120000000000001</v>
      </c>
      <c r="F178" s="108" t="e">
        <f t="shared" si="2"/>
        <v>#REF!</v>
      </c>
      <c r="G178" s="108" t="e">
        <f t="shared" si="3"/>
        <v>#REF!</v>
      </c>
      <c r="H178" s="108" t="e">
        <f t="shared" si="4"/>
        <v>#REF!</v>
      </c>
      <c r="I178" s="107" t="e">
        <f t="shared" si="5"/>
        <v>#REF!</v>
      </c>
      <c r="J178" s="106" t="e">
        <f t="shared" si="6"/>
        <v>#REF!</v>
      </c>
      <c r="K178" s="106" t="e">
        <f t="shared" si="7"/>
        <v>#REF!</v>
      </c>
      <c r="L178" s="106" t="e">
        <f t="shared" si="8"/>
        <v>#REF!</v>
      </c>
      <c r="M178" s="94"/>
      <c r="N178" s="122"/>
      <c r="O178" s="121"/>
    </row>
    <row r="179" spans="1:15">
      <c r="A179" s="94">
        <f>A178</f>
        <v>200</v>
      </c>
      <c r="B179" s="94">
        <f t="shared" si="9"/>
        <v>250</v>
      </c>
      <c r="C179" s="94">
        <v>1</v>
      </c>
      <c r="D179" s="94">
        <f>'SNB-2016'!I73</f>
        <v>7</v>
      </c>
      <c r="E179" s="109">
        <f>'SNB-2016'!J73</f>
        <v>10.496</v>
      </c>
      <c r="F179" s="108" t="e">
        <f t="shared" si="2"/>
        <v>#REF!</v>
      </c>
      <c r="G179" s="108" t="e">
        <f t="shared" si="3"/>
        <v>#REF!</v>
      </c>
      <c r="H179" s="108" t="e">
        <f t="shared" si="4"/>
        <v>#REF!</v>
      </c>
      <c r="I179" s="107" t="e">
        <f t="shared" si="5"/>
        <v>#REF!</v>
      </c>
      <c r="J179" s="106" t="e">
        <f t="shared" si="6"/>
        <v>#REF!</v>
      </c>
      <c r="K179" s="106" t="e">
        <f t="shared" si="7"/>
        <v>#REF!</v>
      </c>
      <c r="L179" s="106" t="e">
        <f t="shared" si="8"/>
        <v>#REF!</v>
      </c>
      <c r="M179" s="94"/>
      <c r="N179" s="122"/>
      <c r="O179" s="121"/>
    </row>
    <row r="180" spans="1:15">
      <c r="A180" s="94">
        <f>A179</f>
        <v>200</v>
      </c>
      <c r="B180" s="94">
        <f t="shared" si="9"/>
        <v>300</v>
      </c>
      <c r="C180" s="94">
        <v>1</v>
      </c>
      <c r="D180" s="94">
        <f>'SNB-2016'!I74</f>
        <v>7</v>
      </c>
      <c r="E180" s="109">
        <f>'SNB-2016'!J74</f>
        <v>13.766000000000002</v>
      </c>
      <c r="F180" s="108" t="e">
        <f t="shared" si="2"/>
        <v>#REF!</v>
      </c>
      <c r="G180" s="108" t="e">
        <f t="shared" si="3"/>
        <v>#REF!</v>
      </c>
      <c r="H180" s="108" t="e">
        <f t="shared" si="4"/>
        <v>#REF!</v>
      </c>
      <c r="I180" s="107" t="e">
        <f t="shared" si="5"/>
        <v>#REF!</v>
      </c>
      <c r="J180" s="106" t="e">
        <f t="shared" si="6"/>
        <v>#REF!</v>
      </c>
      <c r="K180" s="106" t="e">
        <f t="shared" si="7"/>
        <v>#REF!</v>
      </c>
      <c r="L180" s="106" t="e">
        <f t="shared" si="8"/>
        <v>#REF!</v>
      </c>
      <c r="M180" s="94"/>
      <c r="N180" s="122"/>
      <c r="O180" s="121"/>
    </row>
    <row r="181" spans="1:15">
      <c r="A181" s="120"/>
      <c r="B181" s="120"/>
      <c r="C181" s="120"/>
      <c r="D181" s="120"/>
      <c r="E181" s="119"/>
      <c r="F181" s="118"/>
      <c r="G181" s="117"/>
      <c r="H181" s="117"/>
      <c r="I181" s="116"/>
      <c r="J181" s="115"/>
      <c r="K181" s="115"/>
      <c r="L181" s="115"/>
      <c r="M181" s="94"/>
      <c r="N181" s="94"/>
    </row>
    <row r="182" spans="1:15">
      <c r="A182" s="120"/>
      <c r="B182" s="120"/>
      <c r="C182" s="120"/>
      <c r="D182" s="120"/>
      <c r="E182" s="119"/>
      <c r="F182" s="118"/>
      <c r="G182" s="117"/>
      <c r="H182" s="117"/>
      <c r="I182" s="116"/>
      <c r="J182" s="115"/>
      <c r="K182" s="115"/>
      <c r="L182" s="115"/>
      <c r="M182" s="94"/>
      <c r="N182" s="94"/>
    </row>
    <row r="183" spans="1:15">
      <c r="A183" s="120"/>
      <c r="B183" s="120"/>
      <c r="C183" s="120"/>
      <c r="D183" s="120"/>
      <c r="E183" s="119"/>
      <c r="F183" s="118"/>
      <c r="G183" s="117"/>
      <c r="H183" s="117"/>
      <c r="I183" s="116"/>
      <c r="J183" s="115"/>
      <c r="K183" s="115"/>
      <c r="L183" s="115"/>
      <c r="M183" s="94"/>
      <c r="N183" s="94"/>
    </row>
    <row r="184" spans="1:15">
      <c r="A184" s="94"/>
      <c r="B184" s="94"/>
      <c r="C184" s="94"/>
      <c r="D184" s="94"/>
      <c r="E184" s="94"/>
      <c r="F184" s="94"/>
      <c r="G184" s="94"/>
      <c r="H184" s="94"/>
      <c r="I184" s="94"/>
      <c r="J184" s="94"/>
      <c r="K184" s="94"/>
      <c r="L184" s="94"/>
      <c r="M184" s="94"/>
      <c r="N184" s="94"/>
    </row>
    <row r="185" spans="1:15">
      <c r="A185" s="94"/>
      <c r="B185" s="94"/>
      <c r="C185" s="94"/>
      <c r="D185" s="94"/>
      <c r="E185" s="94"/>
      <c r="F185" s="94"/>
      <c r="G185" s="94"/>
      <c r="H185" s="94"/>
      <c r="I185" s="94"/>
      <c r="J185" s="104" t="s">
        <v>127</v>
      </c>
      <c r="K185" s="94"/>
      <c r="L185" s="103" t="e">
        <f>AVERAGE(L163:L180)</f>
        <v>#REF!</v>
      </c>
      <c r="M185" s="102" t="s">
        <v>126</v>
      </c>
      <c r="N185" s="114"/>
    </row>
    <row r="186" spans="1:15">
      <c r="A186" s="94"/>
      <c r="B186" s="94"/>
      <c r="C186" s="94"/>
      <c r="D186" s="94"/>
      <c r="E186" s="94"/>
      <c r="F186" s="94"/>
      <c r="G186" s="94"/>
      <c r="H186" s="94"/>
      <c r="I186" s="94"/>
      <c r="J186" s="94"/>
      <c r="K186" s="94"/>
      <c r="L186" s="94"/>
      <c r="M186" s="94"/>
      <c r="N186" s="94"/>
    </row>
    <row r="187" spans="1:15" ht="16.2" thickBot="1">
      <c r="A187" s="113" t="s">
        <v>125</v>
      </c>
      <c r="B187" s="94"/>
      <c r="C187" s="94"/>
      <c r="D187" s="94"/>
      <c r="E187" s="94"/>
      <c r="F187" s="94"/>
      <c r="G187" s="94"/>
      <c r="H187" s="94"/>
      <c r="I187" s="94"/>
      <c r="J187" s="94"/>
      <c r="K187" s="94"/>
      <c r="L187" s="94"/>
      <c r="M187" s="94"/>
      <c r="N187" s="94"/>
    </row>
    <row r="188" spans="1:15" ht="14.4" thickBot="1">
      <c r="A188" s="94"/>
      <c r="B188" s="94"/>
      <c r="C188" s="94"/>
      <c r="D188" s="94"/>
      <c r="E188" s="94"/>
      <c r="F188" s="94"/>
      <c r="G188" s="105" t="s">
        <v>121</v>
      </c>
      <c r="H188" s="94"/>
      <c r="I188" s="94"/>
      <c r="J188" s="112" t="s">
        <v>120</v>
      </c>
      <c r="K188" s="91"/>
      <c r="L188" s="111"/>
      <c r="M188" s="94"/>
      <c r="N188" s="94"/>
    </row>
    <row r="189" spans="1:15">
      <c r="A189" s="105"/>
      <c r="B189" s="105"/>
      <c r="C189" s="105" t="s">
        <v>117</v>
      </c>
      <c r="D189" s="105" t="s">
        <v>119</v>
      </c>
      <c r="E189" s="105" t="s">
        <v>118</v>
      </c>
      <c r="F189" s="105" t="s">
        <v>117</v>
      </c>
      <c r="G189" s="105" t="s">
        <v>116</v>
      </c>
      <c r="H189" s="105" t="s">
        <v>115</v>
      </c>
      <c r="I189" s="105"/>
      <c r="J189" s="105" t="s">
        <v>110</v>
      </c>
      <c r="K189" s="105" t="s">
        <v>114</v>
      </c>
      <c r="L189" s="94"/>
      <c r="M189" s="94"/>
      <c r="N189" s="94"/>
    </row>
    <row r="190" spans="1:15">
      <c r="A190" s="110" t="s">
        <v>113</v>
      </c>
      <c r="B190" s="110" t="s">
        <v>112</v>
      </c>
      <c r="C190" s="110" t="s">
        <v>111</v>
      </c>
      <c r="D190" s="110" t="s">
        <v>111</v>
      </c>
      <c r="E190" s="110" t="s">
        <v>111</v>
      </c>
      <c r="F190" s="110" t="s">
        <v>110</v>
      </c>
      <c r="G190" s="110" t="s">
        <v>110</v>
      </c>
      <c r="H190" s="110" t="s">
        <v>110</v>
      </c>
      <c r="I190" s="110" t="s">
        <v>110</v>
      </c>
      <c r="J190" s="110" t="s">
        <v>109</v>
      </c>
      <c r="K190" s="110" t="s">
        <v>108</v>
      </c>
      <c r="L190" s="110" t="s">
        <v>1</v>
      </c>
      <c r="M190" s="94"/>
      <c r="N190" s="94"/>
    </row>
    <row r="191" spans="1:15">
      <c r="A191" s="105" t="s">
        <v>107</v>
      </c>
      <c r="B191" s="105" t="s">
        <v>106</v>
      </c>
      <c r="C191" s="105"/>
      <c r="D191" s="105"/>
      <c r="E191" s="105"/>
      <c r="F191" s="105" t="s">
        <v>105</v>
      </c>
      <c r="G191" s="105" t="s">
        <v>105</v>
      </c>
      <c r="H191" s="105" t="s">
        <v>105</v>
      </c>
      <c r="I191" s="105" t="s">
        <v>105</v>
      </c>
      <c r="J191" s="105" t="s">
        <v>104</v>
      </c>
      <c r="K191" s="105" t="s">
        <v>104</v>
      </c>
      <c r="L191" s="105" t="s">
        <v>104</v>
      </c>
      <c r="M191" s="94"/>
      <c r="N191" s="94"/>
    </row>
    <row r="192" spans="1:15">
      <c r="A192" s="94"/>
      <c r="B192" s="94"/>
      <c r="C192" s="94"/>
      <c r="D192" s="94"/>
      <c r="E192" s="94"/>
      <c r="F192" s="94"/>
      <c r="G192" s="94"/>
      <c r="H192" s="94"/>
      <c r="I192" s="94"/>
      <c r="J192" s="94"/>
      <c r="K192" s="94"/>
      <c r="L192" s="94"/>
      <c r="M192" s="94"/>
      <c r="N192" s="94"/>
    </row>
    <row r="193" spans="1:14">
      <c r="A193" s="94">
        <v>50</v>
      </c>
      <c r="B193" s="94">
        <v>50</v>
      </c>
      <c r="C193" s="107">
        <f>0</f>
        <v>0</v>
      </c>
      <c r="D193" s="107">
        <f>'SNB-2016'!I87</f>
        <v>0</v>
      </c>
      <c r="E193" s="109">
        <f>'SNB-2016'!F83</f>
        <v>45.400000000000006</v>
      </c>
      <c r="F193" s="108" t="e">
        <f>(C193*$D$142)+(D193*$D$143)</f>
        <v>#REF!</v>
      </c>
      <c r="G193" s="108" t="e">
        <f>$D$144*A193*1000</f>
        <v>#REF!</v>
      </c>
      <c r="H193" s="108" t="e">
        <f>E193*$D$141</f>
        <v>#REF!</v>
      </c>
      <c r="I193" s="107" t="e">
        <f>F193+G193+H193</f>
        <v>#REF!</v>
      </c>
      <c r="J193" s="106" t="e">
        <f>I193/A193/365/1000</f>
        <v>#REF!</v>
      </c>
      <c r="K193" s="106" t="e">
        <f>$D$45</f>
        <v>#REF!</v>
      </c>
      <c r="L193" s="106" t="e">
        <f>K193+J193</f>
        <v>#REF!</v>
      </c>
      <c r="M193" s="94"/>
      <c r="N193" s="94"/>
    </row>
    <row r="194" spans="1:14">
      <c r="A194" s="94">
        <v>100</v>
      </c>
      <c r="B194" s="94">
        <v>100</v>
      </c>
      <c r="C194" s="107">
        <f>0</f>
        <v>0</v>
      </c>
      <c r="D194" s="107">
        <f>'SNB-2016'!I88</f>
        <v>0</v>
      </c>
      <c r="E194" s="109">
        <f>'SNB-2016'!F88</f>
        <v>78.2</v>
      </c>
      <c r="F194" s="108" t="e">
        <f>(C194*$D$142)+(D194*$D$143)</f>
        <v>#REF!</v>
      </c>
      <c r="G194" s="108" t="e">
        <f>$D$144*A194*1000</f>
        <v>#REF!</v>
      </c>
      <c r="H194" s="108" t="e">
        <f>E194*$D$141</f>
        <v>#REF!</v>
      </c>
      <c r="I194" s="107" t="e">
        <f>F194+G194+H194</f>
        <v>#REF!</v>
      </c>
      <c r="J194" s="106" t="e">
        <f>I194/A194/365/1000</f>
        <v>#REF!</v>
      </c>
      <c r="K194" s="106" t="e">
        <f>$D$45</f>
        <v>#REF!</v>
      </c>
      <c r="L194" s="106" t="e">
        <f>K194+J194</f>
        <v>#REF!</v>
      </c>
      <c r="M194" s="94"/>
      <c r="N194" s="94"/>
    </row>
    <row r="195" spans="1:14">
      <c r="A195" s="94">
        <v>150</v>
      </c>
      <c r="B195" s="94">
        <v>150</v>
      </c>
      <c r="C195" s="107">
        <f>0</f>
        <v>0</v>
      </c>
      <c r="D195" s="107">
        <f>'SNB-2016'!I89</f>
        <v>0</v>
      </c>
      <c r="E195" s="109">
        <f>'SNB-2016'!F92</f>
        <v>123.4</v>
      </c>
      <c r="F195" s="108" t="e">
        <f>(C195*$D$142)+(D195*$D$143)</f>
        <v>#REF!</v>
      </c>
      <c r="G195" s="108" t="e">
        <f>$D$144*A195*1000</f>
        <v>#REF!</v>
      </c>
      <c r="H195" s="108" t="e">
        <f>E195*$D$141</f>
        <v>#REF!</v>
      </c>
      <c r="I195" s="107" t="e">
        <f>F195+G195+H195</f>
        <v>#REF!</v>
      </c>
      <c r="J195" s="106" t="e">
        <f>I195/A195/365/1000</f>
        <v>#REF!</v>
      </c>
      <c r="K195" s="106" t="e">
        <f>$D$45</f>
        <v>#REF!</v>
      </c>
      <c r="L195" s="106" t="e">
        <f>K195+J195</f>
        <v>#REF!</v>
      </c>
      <c r="M195" s="94"/>
      <c r="N195" s="94"/>
    </row>
    <row r="196" spans="1:14">
      <c r="A196" s="94">
        <v>200</v>
      </c>
      <c r="B196" s="94">
        <v>200</v>
      </c>
      <c r="C196" s="107">
        <f>0</f>
        <v>0</v>
      </c>
      <c r="D196" s="107">
        <f>'SNB-2016'!I90</f>
        <v>0</v>
      </c>
      <c r="E196" s="109">
        <f>'SNB-2016'!F97</f>
        <v>123.5</v>
      </c>
      <c r="F196" s="108" t="e">
        <f>(C196*$D$142)+(D196*$D$143)</f>
        <v>#REF!</v>
      </c>
      <c r="G196" s="108" t="e">
        <f>$D$144*A196*1000</f>
        <v>#REF!</v>
      </c>
      <c r="H196" s="108" t="e">
        <f>E196*$D$141</f>
        <v>#REF!</v>
      </c>
      <c r="I196" s="107" t="e">
        <f>F196+G196+H196</f>
        <v>#REF!</v>
      </c>
      <c r="J196" s="106" t="e">
        <f>I196/A196/365/1000</f>
        <v>#REF!</v>
      </c>
      <c r="K196" s="106" t="e">
        <f>$D$45</f>
        <v>#REF!</v>
      </c>
      <c r="L196" s="106" t="e">
        <f>K196+J196</f>
        <v>#REF!</v>
      </c>
      <c r="M196" s="94"/>
      <c r="N196" s="94"/>
    </row>
    <row r="197" spans="1:14">
      <c r="A197" s="94"/>
      <c r="B197" s="94"/>
      <c r="C197" s="94"/>
      <c r="D197" s="94"/>
      <c r="E197" s="94"/>
      <c r="F197" s="94"/>
      <c r="G197" s="94"/>
      <c r="H197" s="94"/>
      <c r="I197" s="94"/>
      <c r="J197" s="94"/>
      <c r="K197" s="94"/>
      <c r="L197" s="94"/>
      <c r="M197" s="94"/>
      <c r="N197" s="94"/>
    </row>
    <row r="198" spans="1:14">
      <c r="A198" s="94"/>
      <c r="B198" s="94"/>
      <c r="C198" s="94"/>
      <c r="D198" s="94"/>
      <c r="E198" s="94"/>
      <c r="F198" s="94"/>
      <c r="G198" s="94"/>
      <c r="H198" s="94"/>
      <c r="I198" s="94"/>
      <c r="J198" s="104" t="s">
        <v>124</v>
      </c>
      <c r="K198" s="94"/>
      <c r="L198" s="103" t="e">
        <f>AVERAGE(L193:L196)</f>
        <v>#REF!</v>
      </c>
      <c r="M198" s="94" t="s">
        <v>123</v>
      </c>
      <c r="N198" s="94"/>
    </row>
    <row r="199" spans="1:14">
      <c r="A199" s="94"/>
      <c r="B199" s="94"/>
      <c r="C199" s="94"/>
      <c r="D199" s="94"/>
      <c r="E199" s="94"/>
      <c r="F199" s="94"/>
      <c r="G199" s="94"/>
      <c r="H199" s="94"/>
      <c r="I199" s="94"/>
      <c r="J199" s="104"/>
      <c r="K199" s="94"/>
      <c r="L199" s="103"/>
      <c r="M199" s="94"/>
      <c r="N199" s="94"/>
    </row>
    <row r="200" spans="1:14">
      <c r="M200" s="94"/>
      <c r="N200" s="94"/>
    </row>
    <row r="201" spans="1:14" ht="16.2" thickBot="1">
      <c r="A201" s="113" t="s">
        <v>122</v>
      </c>
      <c r="B201" s="94"/>
      <c r="C201" s="94"/>
      <c r="D201" s="94"/>
      <c r="E201" s="94"/>
      <c r="F201" s="94"/>
      <c r="G201" s="94"/>
      <c r="H201" s="94"/>
      <c r="I201" s="94"/>
      <c r="J201" s="94"/>
      <c r="K201" s="94"/>
      <c r="L201" s="94"/>
      <c r="M201" s="94"/>
      <c r="N201" s="94"/>
    </row>
    <row r="202" spans="1:14" ht="14.4" thickBot="1">
      <c r="A202" s="94"/>
      <c r="B202" s="94"/>
      <c r="C202" s="94"/>
      <c r="D202" s="94"/>
      <c r="E202" s="94"/>
      <c r="F202" s="94"/>
      <c r="G202" s="105" t="s">
        <v>121</v>
      </c>
      <c r="H202" s="94"/>
      <c r="I202" s="94"/>
      <c r="J202" s="112" t="s">
        <v>120</v>
      </c>
      <c r="K202" s="91"/>
      <c r="L202" s="111"/>
      <c r="M202" s="94"/>
      <c r="N202" s="94"/>
    </row>
    <row r="203" spans="1:14">
      <c r="A203" s="105"/>
      <c r="B203" s="105"/>
      <c r="C203" s="105" t="s">
        <v>117</v>
      </c>
      <c r="D203" s="105" t="s">
        <v>119</v>
      </c>
      <c r="E203" s="105" t="s">
        <v>118</v>
      </c>
      <c r="F203" s="105" t="s">
        <v>117</v>
      </c>
      <c r="G203" s="105" t="s">
        <v>116</v>
      </c>
      <c r="H203" s="105" t="s">
        <v>115</v>
      </c>
      <c r="I203" s="105"/>
      <c r="J203" s="105" t="s">
        <v>110</v>
      </c>
      <c r="K203" s="105" t="s">
        <v>114</v>
      </c>
      <c r="L203" s="94"/>
      <c r="M203" s="94"/>
      <c r="N203" s="94"/>
    </row>
    <row r="204" spans="1:14">
      <c r="A204" s="110" t="s">
        <v>113</v>
      </c>
      <c r="B204" s="110" t="s">
        <v>112</v>
      </c>
      <c r="C204" s="110" t="s">
        <v>111</v>
      </c>
      <c r="D204" s="110" t="s">
        <v>111</v>
      </c>
      <c r="E204" s="110" t="s">
        <v>111</v>
      </c>
      <c r="F204" s="110" t="s">
        <v>110</v>
      </c>
      <c r="G204" s="110" t="s">
        <v>110</v>
      </c>
      <c r="H204" s="110" t="s">
        <v>110</v>
      </c>
      <c r="I204" s="110" t="s">
        <v>110</v>
      </c>
      <c r="J204" s="110" t="s">
        <v>109</v>
      </c>
      <c r="K204" s="110" t="s">
        <v>108</v>
      </c>
      <c r="L204" s="110" t="s">
        <v>1</v>
      </c>
      <c r="M204" s="94"/>
      <c r="N204" s="94"/>
    </row>
    <row r="205" spans="1:14">
      <c r="A205" s="105" t="s">
        <v>107</v>
      </c>
      <c r="B205" s="105" t="s">
        <v>106</v>
      </c>
      <c r="C205" s="105"/>
      <c r="D205" s="105"/>
      <c r="E205" s="105"/>
      <c r="F205" s="105" t="s">
        <v>105</v>
      </c>
      <c r="G205" s="105" t="s">
        <v>105</v>
      </c>
      <c r="H205" s="105" t="s">
        <v>105</v>
      </c>
      <c r="I205" s="105" t="s">
        <v>105</v>
      </c>
      <c r="J205" s="105" t="s">
        <v>104</v>
      </c>
      <c r="K205" s="105" t="s">
        <v>104</v>
      </c>
      <c r="L205" s="105" t="s">
        <v>104</v>
      </c>
      <c r="M205" s="94"/>
      <c r="N205" s="94"/>
    </row>
    <row r="206" spans="1:14">
      <c r="A206" s="94"/>
      <c r="B206" s="94"/>
      <c r="C206" s="94"/>
      <c r="D206" s="94"/>
      <c r="E206" s="94"/>
      <c r="F206" s="94"/>
      <c r="G206" s="94"/>
      <c r="H206" s="94"/>
      <c r="I206" s="94"/>
      <c r="J206" s="94"/>
      <c r="K206" s="94"/>
      <c r="L206" s="94"/>
      <c r="M206" s="94"/>
      <c r="N206" s="94"/>
    </row>
    <row r="207" spans="1:14">
      <c r="A207" s="94">
        <v>50</v>
      </c>
      <c r="B207" s="94">
        <v>50</v>
      </c>
      <c r="C207" s="107">
        <v>1</v>
      </c>
      <c r="D207" s="107">
        <f>'SNB-2016'!F107</f>
        <v>1</v>
      </c>
      <c r="E207" s="109">
        <v>0</v>
      </c>
      <c r="F207" s="108" t="e">
        <f>(C207*$D$142)+(D207*$D$143)</f>
        <v>#REF!</v>
      </c>
      <c r="G207" s="108" t="e">
        <f>$D$144*A207*1000</f>
        <v>#REF!</v>
      </c>
      <c r="H207" s="108" t="e">
        <f>E207*$D$141</f>
        <v>#REF!</v>
      </c>
      <c r="I207" s="107" t="e">
        <f>F207+G207+H207</f>
        <v>#REF!</v>
      </c>
      <c r="J207" s="106" t="e">
        <f>I207/A207/365/1000</f>
        <v>#REF!</v>
      </c>
      <c r="K207" s="106" t="e">
        <f>$D$45</f>
        <v>#REF!</v>
      </c>
      <c r="L207" s="106" t="e">
        <f>K207+J207</f>
        <v>#REF!</v>
      </c>
      <c r="M207" s="94"/>
      <c r="N207" s="94"/>
    </row>
    <row r="208" spans="1:14">
      <c r="A208" s="94">
        <v>100</v>
      </c>
      <c r="B208" s="94">
        <v>100</v>
      </c>
      <c r="C208" s="107">
        <v>1</v>
      </c>
      <c r="D208" s="107">
        <f>'SNB-2016'!F108</f>
        <v>1</v>
      </c>
      <c r="E208" s="109">
        <v>0</v>
      </c>
      <c r="F208" s="108" t="e">
        <f>(C208*$D$142)+(D208*$D$143)</f>
        <v>#REF!</v>
      </c>
      <c r="G208" s="108" t="e">
        <f>$D$144*A208*1000</f>
        <v>#REF!</v>
      </c>
      <c r="H208" s="108" t="e">
        <f>E208*$D$141</f>
        <v>#REF!</v>
      </c>
      <c r="I208" s="107" t="e">
        <f>F208+G208+H208</f>
        <v>#REF!</v>
      </c>
      <c r="J208" s="106" t="e">
        <f>I208/A208/365/1000</f>
        <v>#REF!</v>
      </c>
      <c r="K208" s="106" t="e">
        <f>$D$45</f>
        <v>#REF!</v>
      </c>
      <c r="L208" s="106" t="e">
        <f>K208+J208</f>
        <v>#REF!</v>
      </c>
      <c r="M208" s="94"/>
      <c r="N208" s="94"/>
    </row>
    <row r="209" spans="1:14">
      <c r="A209" s="94">
        <v>150</v>
      </c>
      <c r="B209" s="94">
        <v>150</v>
      </c>
      <c r="C209" s="107">
        <v>1</v>
      </c>
      <c r="D209" s="107">
        <f>'SNB-2016'!F110</f>
        <v>6</v>
      </c>
      <c r="E209" s="109">
        <v>0</v>
      </c>
      <c r="F209" s="108" t="e">
        <f>(C209*$D$142)+(D209*$D$143)</f>
        <v>#REF!</v>
      </c>
      <c r="G209" s="108" t="e">
        <f>$D$144*A209*1000</f>
        <v>#REF!</v>
      </c>
      <c r="H209" s="108" t="e">
        <f>E209*$D$141</f>
        <v>#REF!</v>
      </c>
      <c r="I209" s="107" t="e">
        <f>F209+G209+H209</f>
        <v>#REF!</v>
      </c>
      <c r="J209" s="106" t="e">
        <f>I209/A209/365/1000</f>
        <v>#REF!</v>
      </c>
      <c r="K209" s="106" t="e">
        <f>$D$45</f>
        <v>#REF!</v>
      </c>
      <c r="L209" s="106" t="e">
        <f>K209+J209</f>
        <v>#REF!</v>
      </c>
      <c r="M209" s="94"/>
      <c r="N209" s="94"/>
    </row>
    <row r="210" spans="1:14">
      <c r="A210" s="94">
        <v>200</v>
      </c>
      <c r="B210" s="94">
        <v>200</v>
      </c>
      <c r="C210" s="107">
        <v>1</v>
      </c>
      <c r="D210" s="107">
        <f>'SNB-2016'!F111</f>
        <v>6</v>
      </c>
      <c r="E210" s="109">
        <v>0</v>
      </c>
      <c r="F210" s="108" t="e">
        <f>(C210*$D$142)+(D210*$D$143)</f>
        <v>#REF!</v>
      </c>
      <c r="G210" s="108" t="e">
        <f>$D$144*A210*1000</f>
        <v>#REF!</v>
      </c>
      <c r="H210" s="108" t="e">
        <f>E210*$D$141</f>
        <v>#REF!</v>
      </c>
      <c r="I210" s="107" t="e">
        <f>F210+G210+H210</f>
        <v>#REF!</v>
      </c>
      <c r="J210" s="106" t="e">
        <f>I210/A210/365/1000</f>
        <v>#REF!</v>
      </c>
      <c r="K210" s="106" t="e">
        <f>$D$45</f>
        <v>#REF!</v>
      </c>
      <c r="L210" s="106" t="e">
        <f>K210+J210</f>
        <v>#REF!</v>
      </c>
      <c r="M210" s="94"/>
      <c r="N210" s="94"/>
    </row>
    <row r="211" spans="1:14">
      <c r="A211" s="94"/>
      <c r="B211" s="94"/>
      <c r="C211" s="94"/>
      <c r="D211" s="94"/>
      <c r="E211" s="94"/>
      <c r="F211" s="94"/>
      <c r="G211" s="94"/>
      <c r="H211" s="94"/>
      <c r="I211" s="94"/>
      <c r="J211" s="94"/>
      <c r="K211" s="94"/>
      <c r="L211" s="94"/>
      <c r="M211" s="105" t="s">
        <v>103</v>
      </c>
      <c r="N211" s="94"/>
    </row>
    <row r="212" spans="1:14">
      <c r="A212" s="94"/>
      <c r="B212" s="94"/>
      <c r="C212" s="94"/>
      <c r="D212" s="94"/>
      <c r="E212" s="94"/>
      <c r="F212" s="94"/>
      <c r="G212" s="94"/>
      <c r="H212" s="94"/>
      <c r="I212" s="94"/>
      <c r="J212" s="104" t="s">
        <v>102</v>
      </c>
      <c r="K212" s="94"/>
      <c r="L212" s="103" t="e">
        <f>AVERAGE(L207:L210)</f>
        <v>#REF!</v>
      </c>
      <c r="M212" s="94"/>
      <c r="N212" s="94"/>
    </row>
    <row r="213" spans="1:14">
      <c r="A213" s="94"/>
      <c r="B213" s="94"/>
      <c r="C213" s="94"/>
      <c r="D213" s="94"/>
      <c r="E213" s="94"/>
      <c r="F213" s="94"/>
      <c r="G213" s="94"/>
      <c r="H213" s="94"/>
      <c r="I213" s="94"/>
      <c r="J213" s="104"/>
      <c r="K213" s="94"/>
      <c r="L213" s="103"/>
      <c r="M213" s="102" t="s">
        <v>101</v>
      </c>
      <c r="N213" s="94"/>
    </row>
    <row r="214" spans="1:14" ht="15.6">
      <c r="A214" s="94"/>
      <c r="B214" s="94"/>
      <c r="C214" s="101"/>
      <c r="D214" s="100"/>
      <c r="E214" s="100"/>
      <c r="F214" s="100"/>
      <c r="G214" s="100"/>
      <c r="H214" s="100"/>
      <c r="I214" s="100"/>
      <c r="J214" s="99" t="s">
        <v>100</v>
      </c>
      <c r="K214" s="98"/>
      <c r="L214" s="97" t="e">
        <f>ROUND((L185+L198+L212)/3,5)</f>
        <v>#REF!</v>
      </c>
      <c r="M214" s="94"/>
      <c r="N214" s="94"/>
    </row>
    <row r="215" spans="1:14">
      <c r="A215" s="94"/>
      <c r="B215" s="94"/>
      <c r="C215" s="94"/>
      <c r="D215" s="93"/>
      <c r="E215" s="93"/>
      <c r="F215" s="93"/>
      <c r="G215" s="94"/>
      <c r="H215" s="94"/>
      <c r="I215" s="94"/>
      <c r="J215" s="94"/>
      <c r="K215" s="94"/>
      <c r="L215" s="94"/>
      <c r="M215" s="94"/>
      <c r="N215" s="94"/>
    </row>
    <row r="216" spans="1:14" ht="15.6">
      <c r="A216" s="94"/>
      <c r="B216" s="94"/>
      <c r="C216" s="94"/>
      <c r="D216" s="93"/>
      <c r="E216" s="93"/>
      <c r="F216" s="93"/>
      <c r="G216" s="94"/>
      <c r="H216" s="94"/>
      <c r="I216" s="93"/>
      <c r="J216" s="95"/>
      <c r="K216" s="96"/>
      <c r="L216" s="95" t="s">
        <v>99</v>
      </c>
      <c r="M216" s="94"/>
      <c r="N216" s="94"/>
    </row>
    <row r="217" spans="1:14" ht="14.4" thickBot="1">
      <c r="A217" s="94"/>
      <c r="B217" s="94"/>
      <c r="C217" s="94"/>
      <c r="D217" s="93"/>
      <c r="E217" s="93"/>
      <c r="F217" s="93"/>
      <c r="G217" s="94"/>
      <c r="H217" s="94"/>
      <c r="I217" s="94"/>
      <c r="J217" s="94"/>
      <c r="K217" s="94"/>
      <c r="L217" s="94"/>
      <c r="M217" s="94"/>
      <c r="N217" s="94"/>
    </row>
    <row r="218" spans="1:14" ht="16.2" thickBot="1">
      <c r="A218" s="94"/>
      <c r="B218" s="94"/>
      <c r="C218" s="94"/>
      <c r="D218" s="93"/>
      <c r="E218" s="93"/>
      <c r="F218" s="93"/>
      <c r="G218" s="92"/>
      <c r="H218" s="91"/>
      <c r="I218" s="91"/>
      <c r="J218" s="90" t="s">
        <v>98</v>
      </c>
      <c r="K218" s="89"/>
      <c r="L218" s="88" t="e">
        <f>ROUND((L214*365/12),5)</f>
        <v>#REF!</v>
      </c>
    </row>
    <row r="219" spans="1:14">
      <c r="K219" s="49"/>
    </row>
    <row r="220" spans="1:14">
      <c r="K220" s="49"/>
    </row>
    <row r="221" spans="1:14" s="87" customFormat="1"/>
  </sheetData>
  <mergeCells count="5">
    <mergeCell ref="D54:G54"/>
    <mergeCell ref="B57:B62"/>
    <mergeCell ref="B63:B67"/>
    <mergeCell ref="B68:B71"/>
    <mergeCell ref="B72:B74"/>
  </mergeCells>
  <pageMargins left="0.75" right="0.75" top="1" bottom="1" header="0.5" footer="0.5"/>
  <pageSetup paperSize="5" scale="47" fitToHeight="4" orientation="landscape" r:id="rId1"/>
  <headerFooter alignWithMargins="0"/>
  <rowBreaks count="3" manualBreakCount="3">
    <brk id="47" max="12" man="1"/>
    <brk id="112" max="12" man="1"/>
    <brk id="148"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221"/>
  <sheetViews>
    <sheetView view="pageBreakPreview" zoomScale="75" zoomScaleNormal="75" zoomScaleSheetLayoutView="75" workbookViewId="0">
      <selection activeCell="D18" sqref="D18"/>
    </sheetView>
  </sheetViews>
  <sheetFormatPr defaultRowHeight="13.8"/>
  <cols>
    <col min="1" max="1" width="10.5546875" style="13" bestFit="1" customWidth="1"/>
    <col min="2" max="2" width="44.109375" style="13" customWidth="1"/>
    <col min="3" max="3" width="14.6640625" style="13" customWidth="1"/>
    <col min="4" max="4" width="23.6640625" style="13" bestFit="1" customWidth="1"/>
    <col min="5" max="5" width="11.88671875" style="13" customWidth="1"/>
    <col min="6" max="6" width="20.6640625" style="13" customWidth="1"/>
    <col min="7" max="7" width="15.6640625" style="13" customWidth="1"/>
    <col min="8" max="9" width="16.109375" style="13" bestFit="1" customWidth="1"/>
    <col min="10" max="10" width="13.6640625" style="13" customWidth="1"/>
    <col min="11" max="11" width="12.6640625" style="13" bestFit="1" customWidth="1"/>
    <col min="12" max="12" width="15.5546875" style="13" customWidth="1"/>
    <col min="13" max="13" width="16.109375" style="13" bestFit="1" customWidth="1"/>
    <col min="14" max="14" width="13.33203125" style="13" bestFit="1" customWidth="1"/>
    <col min="15" max="15" width="16.33203125" style="13" bestFit="1" customWidth="1"/>
    <col min="16" max="16" width="9.33203125" style="13" bestFit="1" customWidth="1"/>
    <col min="17" max="17" width="13" style="13" bestFit="1" customWidth="1"/>
    <col min="18" max="18" width="20.109375" style="13" bestFit="1" customWidth="1"/>
    <col min="19" max="19" width="50.33203125" style="13" bestFit="1" customWidth="1"/>
    <col min="20" max="20" width="16.109375" style="13" bestFit="1" customWidth="1"/>
    <col min="21" max="21" width="12.33203125" style="13" customWidth="1"/>
    <col min="22" max="22" width="18.88671875" style="13" bestFit="1" customWidth="1"/>
    <col min="23" max="23" width="16.6640625" style="13" customWidth="1"/>
    <col min="24" max="24" width="19" style="13" bestFit="1" customWidth="1"/>
    <col min="25" max="25" width="9.109375" style="13"/>
    <col min="26" max="26" width="18.88671875" style="13" bestFit="1" customWidth="1"/>
    <col min="27" max="256" width="9.109375" style="13"/>
    <col min="257" max="257" width="10.5546875" style="13" bestFit="1" customWidth="1"/>
    <col min="258" max="258" width="44.109375" style="13" customWidth="1"/>
    <col min="259" max="259" width="14.6640625" style="13" customWidth="1"/>
    <col min="260" max="260" width="23.6640625" style="13" bestFit="1" customWidth="1"/>
    <col min="261" max="261" width="11.88671875" style="13" customWidth="1"/>
    <col min="262" max="262" width="20.6640625" style="13" customWidth="1"/>
    <col min="263" max="263" width="15.6640625" style="13" customWidth="1"/>
    <col min="264" max="265" width="16.109375" style="13" bestFit="1" customWidth="1"/>
    <col min="266" max="266" width="13.6640625" style="13" customWidth="1"/>
    <col min="267" max="267" width="12.6640625" style="13" bestFit="1" customWidth="1"/>
    <col min="268" max="268" width="15.5546875" style="13" customWidth="1"/>
    <col min="269" max="269" width="16.109375" style="13" bestFit="1" customWidth="1"/>
    <col min="270" max="270" width="13.33203125" style="13" bestFit="1" customWidth="1"/>
    <col min="271" max="271" width="16.33203125" style="13" bestFit="1" customWidth="1"/>
    <col min="272" max="272" width="9.33203125" style="13" bestFit="1" customWidth="1"/>
    <col min="273" max="273" width="13" style="13" bestFit="1" customWidth="1"/>
    <col min="274" max="274" width="20.109375" style="13" bestFit="1" customWidth="1"/>
    <col min="275" max="275" width="50.33203125" style="13" bestFit="1" customWidth="1"/>
    <col min="276" max="276" width="16.109375" style="13" bestFit="1" customWidth="1"/>
    <col min="277" max="277" width="12.33203125" style="13" customWidth="1"/>
    <col min="278" max="278" width="18.88671875" style="13" bestFit="1" customWidth="1"/>
    <col min="279" max="279" width="16.6640625" style="13" customWidth="1"/>
    <col min="280" max="280" width="19" style="13" bestFit="1" customWidth="1"/>
    <col min="281" max="281" width="9.109375" style="13"/>
    <col min="282" max="282" width="18.88671875" style="13" bestFit="1" customWidth="1"/>
    <col min="283" max="512" width="9.109375" style="13"/>
    <col min="513" max="513" width="10.5546875" style="13" bestFit="1" customWidth="1"/>
    <col min="514" max="514" width="44.109375" style="13" customWidth="1"/>
    <col min="515" max="515" width="14.6640625" style="13" customWidth="1"/>
    <col min="516" max="516" width="23.6640625" style="13" bestFit="1" customWidth="1"/>
    <col min="517" max="517" width="11.88671875" style="13" customWidth="1"/>
    <col min="518" max="518" width="20.6640625" style="13" customWidth="1"/>
    <col min="519" max="519" width="15.6640625" style="13" customWidth="1"/>
    <col min="520" max="521" width="16.109375" style="13" bestFit="1" customWidth="1"/>
    <col min="522" max="522" width="13.6640625" style="13" customWidth="1"/>
    <col min="523" max="523" width="12.6640625" style="13" bestFit="1" customWidth="1"/>
    <col min="524" max="524" width="15.5546875" style="13" customWidth="1"/>
    <col min="525" max="525" width="16.109375" style="13" bestFit="1" customWidth="1"/>
    <col min="526" max="526" width="13.33203125" style="13" bestFit="1" customWidth="1"/>
    <col min="527" max="527" width="16.33203125" style="13" bestFit="1" customWidth="1"/>
    <col min="528" max="528" width="9.33203125" style="13" bestFit="1" customWidth="1"/>
    <col min="529" max="529" width="13" style="13" bestFit="1" customWidth="1"/>
    <col min="530" max="530" width="20.109375" style="13" bestFit="1" customWidth="1"/>
    <col min="531" max="531" width="50.33203125" style="13" bestFit="1" customWidth="1"/>
    <col min="532" max="532" width="16.109375" style="13" bestFit="1" customWidth="1"/>
    <col min="533" max="533" width="12.33203125" style="13" customWidth="1"/>
    <col min="534" max="534" width="18.88671875" style="13" bestFit="1" customWidth="1"/>
    <col min="535" max="535" width="16.6640625" style="13" customWidth="1"/>
    <col min="536" max="536" width="19" style="13" bestFit="1" customWidth="1"/>
    <col min="537" max="537" width="9.109375" style="13"/>
    <col min="538" max="538" width="18.88671875" style="13" bestFit="1" customWidth="1"/>
    <col min="539" max="768" width="9.109375" style="13"/>
    <col min="769" max="769" width="10.5546875" style="13" bestFit="1" customWidth="1"/>
    <col min="770" max="770" width="44.109375" style="13" customWidth="1"/>
    <col min="771" max="771" width="14.6640625" style="13" customWidth="1"/>
    <col min="772" max="772" width="23.6640625" style="13" bestFit="1" customWidth="1"/>
    <col min="773" max="773" width="11.88671875" style="13" customWidth="1"/>
    <col min="774" max="774" width="20.6640625" style="13" customWidth="1"/>
    <col min="775" max="775" width="15.6640625" style="13" customWidth="1"/>
    <col min="776" max="777" width="16.109375" style="13" bestFit="1" customWidth="1"/>
    <col min="778" max="778" width="13.6640625" style="13" customWidth="1"/>
    <col min="779" max="779" width="12.6640625" style="13" bestFit="1" customWidth="1"/>
    <col min="780" max="780" width="15.5546875" style="13" customWidth="1"/>
    <col min="781" max="781" width="16.109375" style="13" bestFit="1" customWidth="1"/>
    <col min="782" max="782" width="13.33203125" style="13" bestFit="1" customWidth="1"/>
    <col min="783" max="783" width="16.33203125" style="13" bestFit="1" customWidth="1"/>
    <col min="784" max="784" width="9.33203125" style="13" bestFit="1" customWidth="1"/>
    <col min="785" max="785" width="13" style="13" bestFit="1" customWidth="1"/>
    <col min="786" max="786" width="20.109375" style="13" bestFit="1" customWidth="1"/>
    <col min="787" max="787" width="50.33203125" style="13" bestFit="1" customWidth="1"/>
    <col min="788" max="788" width="16.109375" style="13" bestFit="1" customWidth="1"/>
    <col min="789" max="789" width="12.33203125" style="13" customWidth="1"/>
    <col min="790" max="790" width="18.88671875" style="13" bestFit="1" customWidth="1"/>
    <col min="791" max="791" width="16.6640625" style="13" customWidth="1"/>
    <col min="792" max="792" width="19" style="13" bestFit="1" customWidth="1"/>
    <col min="793" max="793" width="9.109375" style="13"/>
    <col min="794" max="794" width="18.88671875" style="13" bestFit="1" customWidth="1"/>
    <col min="795" max="1024" width="9.109375" style="13"/>
    <col min="1025" max="1025" width="10.5546875" style="13" bestFit="1" customWidth="1"/>
    <col min="1026" max="1026" width="44.109375" style="13" customWidth="1"/>
    <col min="1027" max="1027" width="14.6640625" style="13" customWidth="1"/>
    <col min="1028" max="1028" width="23.6640625" style="13" bestFit="1" customWidth="1"/>
    <col min="1029" max="1029" width="11.88671875" style="13" customWidth="1"/>
    <col min="1030" max="1030" width="20.6640625" style="13" customWidth="1"/>
    <col min="1031" max="1031" width="15.6640625" style="13" customWidth="1"/>
    <col min="1032" max="1033" width="16.109375" style="13" bestFit="1" customWidth="1"/>
    <col min="1034" max="1034" width="13.6640625" style="13" customWidth="1"/>
    <col min="1035" max="1035" width="12.6640625" style="13" bestFit="1" customWidth="1"/>
    <col min="1036" max="1036" width="15.5546875" style="13" customWidth="1"/>
    <col min="1037" max="1037" width="16.109375" style="13" bestFit="1" customWidth="1"/>
    <col min="1038" max="1038" width="13.33203125" style="13" bestFit="1" customWidth="1"/>
    <col min="1039" max="1039" width="16.33203125" style="13" bestFit="1" customWidth="1"/>
    <col min="1040" max="1040" width="9.33203125" style="13" bestFit="1" customWidth="1"/>
    <col min="1041" max="1041" width="13" style="13" bestFit="1" customWidth="1"/>
    <col min="1042" max="1042" width="20.109375" style="13" bestFit="1" customWidth="1"/>
    <col min="1043" max="1043" width="50.33203125" style="13" bestFit="1" customWidth="1"/>
    <col min="1044" max="1044" width="16.109375" style="13" bestFit="1" customWidth="1"/>
    <col min="1045" max="1045" width="12.33203125" style="13" customWidth="1"/>
    <col min="1046" max="1046" width="18.88671875" style="13" bestFit="1" customWidth="1"/>
    <col min="1047" max="1047" width="16.6640625" style="13" customWidth="1"/>
    <col min="1048" max="1048" width="19" style="13" bestFit="1" customWidth="1"/>
    <col min="1049" max="1049" width="9.109375" style="13"/>
    <col min="1050" max="1050" width="18.88671875" style="13" bestFit="1" customWidth="1"/>
    <col min="1051" max="1280" width="9.109375" style="13"/>
    <col min="1281" max="1281" width="10.5546875" style="13" bestFit="1" customWidth="1"/>
    <col min="1282" max="1282" width="44.109375" style="13" customWidth="1"/>
    <col min="1283" max="1283" width="14.6640625" style="13" customWidth="1"/>
    <col min="1284" max="1284" width="23.6640625" style="13" bestFit="1" customWidth="1"/>
    <col min="1285" max="1285" width="11.88671875" style="13" customWidth="1"/>
    <col min="1286" max="1286" width="20.6640625" style="13" customWidth="1"/>
    <col min="1287" max="1287" width="15.6640625" style="13" customWidth="1"/>
    <col min="1288" max="1289" width="16.109375" style="13" bestFit="1" customWidth="1"/>
    <col min="1290" max="1290" width="13.6640625" style="13" customWidth="1"/>
    <col min="1291" max="1291" width="12.6640625" style="13" bestFit="1" customWidth="1"/>
    <col min="1292" max="1292" width="15.5546875" style="13" customWidth="1"/>
    <col min="1293" max="1293" width="16.109375" style="13" bestFit="1" customWidth="1"/>
    <col min="1294" max="1294" width="13.33203125" style="13" bestFit="1" customWidth="1"/>
    <col min="1295" max="1295" width="16.33203125" style="13" bestFit="1" customWidth="1"/>
    <col min="1296" max="1296" width="9.33203125" style="13" bestFit="1" customWidth="1"/>
    <col min="1297" max="1297" width="13" style="13" bestFit="1" customWidth="1"/>
    <col min="1298" max="1298" width="20.109375" style="13" bestFit="1" customWidth="1"/>
    <col min="1299" max="1299" width="50.33203125" style="13" bestFit="1" customWidth="1"/>
    <col min="1300" max="1300" width="16.109375" style="13" bestFit="1" customWidth="1"/>
    <col min="1301" max="1301" width="12.33203125" style="13" customWidth="1"/>
    <col min="1302" max="1302" width="18.88671875" style="13" bestFit="1" customWidth="1"/>
    <col min="1303" max="1303" width="16.6640625" style="13" customWidth="1"/>
    <col min="1304" max="1304" width="19" style="13" bestFit="1" customWidth="1"/>
    <col min="1305" max="1305" width="9.109375" style="13"/>
    <col min="1306" max="1306" width="18.88671875" style="13" bestFit="1" customWidth="1"/>
    <col min="1307" max="1536" width="9.109375" style="13"/>
    <col min="1537" max="1537" width="10.5546875" style="13" bestFit="1" customWidth="1"/>
    <col min="1538" max="1538" width="44.109375" style="13" customWidth="1"/>
    <col min="1539" max="1539" width="14.6640625" style="13" customWidth="1"/>
    <col min="1540" max="1540" width="23.6640625" style="13" bestFit="1" customWidth="1"/>
    <col min="1541" max="1541" width="11.88671875" style="13" customWidth="1"/>
    <col min="1542" max="1542" width="20.6640625" style="13" customWidth="1"/>
    <col min="1543" max="1543" width="15.6640625" style="13" customWidth="1"/>
    <col min="1544" max="1545" width="16.109375" style="13" bestFit="1" customWidth="1"/>
    <col min="1546" max="1546" width="13.6640625" style="13" customWidth="1"/>
    <col min="1547" max="1547" width="12.6640625" style="13" bestFit="1" customWidth="1"/>
    <col min="1548" max="1548" width="15.5546875" style="13" customWidth="1"/>
    <col min="1549" max="1549" width="16.109375" style="13" bestFit="1" customWidth="1"/>
    <col min="1550" max="1550" width="13.33203125" style="13" bestFit="1" customWidth="1"/>
    <col min="1551" max="1551" width="16.33203125" style="13" bestFit="1" customWidth="1"/>
    <col min="1552" max="1552" width="9.33203125" style="13" bestFit="1" customWidth="1"/>
    <col min="1553" max="1553" width="13" style="13" bestFit="1" customWidth="1"/>
    <col min="1554" max="1554" width="20.109375" style="13" bestFit="1" customWidth="1"/>
    <col min="1555" max="1555" width="50.33203125" style="13" bestFit="1" customWidth="1"/>
    <col min="1556" max="1556" width="16.109375" style="13" bestFit="1" customWidth="1"/>
    <col min="1557" max="1557" width="12.33203125" style="13" customWidth="1"/>
    <col min="1558" max="1558" width="18.88671875" style="13" bestFit="1" customWidth="1"/>
    <col min="1559" max="1559" width="16.6640625" style="13" customWidth="1"/>
    <col min="1560" max="1560" width="19" style="13" bestFit="1" customWidth="1"/>
    <col min="1561" max="1561" width="9.109375" style="13"/>
    <col min="1562" max="1562" width="18.88671875" style="13" bestFit="1" customWidth="1"/>
    <col min="1563" max="1792" width="9.109375" style="13"/>
    <col min="1793" max="1793" width="10.5546875" style="13" bestFit="1" customWidth="1"/>
    <col min="1794" max="1794" width="44.109375" style="13" customWidth="1"/>
    <col min="1795" max="1795" width="14.6640625" style="13" customWidth="1"/>
    <col min="1796" max="1796" width="23.6640625" style="13" bestFit="1" customWidth="1"/>
    <col min="1797" max="1797" width="11.88671875" style="13" customWidth="1"/>
    <col min="1798" max="1798" width="20.6640625" style="13" customWidth="1"/>
    <col min="1799" max="1799" width="15.6640625" style="13" customWidth="1"/>
    <col min="1800" max="1801" width="16.109375" style="13" bestFit="1" customWidth="1"/>
    <col min="1802" max="1802" width="13.6640625" style="13" customWidth="1"/>
    <col min="1803" max="1803" width="12.6640625" style="13" bestFit="1" customWidth="1"/>
    <col min="1804" max="1804" width="15.5546875" style="13" customWidth="1"/>
    <col min="1805" max="1805" width="16.109375" style="13" bestFit="1" customWidth="1"/>
    <col min="1806" max="1806" width="13.33203125" style="13" bestFit="1" customWidth="1"/>
    <col min="1807" max="1807" width="16.33203125" style="13" bestFit="1" customWidth="1"/>
    <col min="1808" max="1808" width="9.33203125" style="13" bestFit="1" customWidth="1"/>
    <col min="1809" max="1809" width="13" style="13" bestFit="1" customWidth="1"/>
    <col min="1810" max="1810" width="20.109375" style="13" bestFit="1" customWidth="1"/>
    <col min="1811" max="1811" width="50.33203125" style="13" bestFit="1" customWidth="1"/>
    <col min="1812" max="1812" width="16.109375" style="13" bestFit="1" customWidth="1"/>
    <col min="1813" max="1813" width="12.33203125" style="13" customWidth="1"/>
    <col min="1814" max="1814" width="18.88671875" style="13" bestFit="1" customWidth="1"/>
    <col min="1815" max="1815" width="16.6640625" style="13" customWidth="1"/>
    <col min="1816" max="1816" width="19" style="13" bestFit="1" customWidth="1"/>
    <col min="1817" max="1817" width="9.109375" style="13"/>
    <col min="1818" max="1818" width="18.88671875" style="13" bestFit="1" customWidth="1"/>
    <col min="1819" max="2048" width="9.109375" style="13"/>
    <col min="2049" max="2049" width="10.5546875" style="13" bestFit="1" customWidth="1"/>
    <col min="2050" max="2050" width="44.109375" style="13" customWidth="1"/>
    <col min="2051" max="2051" width="14.6640625" style="13" customWidth="1"/>
    <col min="2052" max="2052" width="23.6640625" style="13" bestFit="1" customWidth="1"/>
    <col min="2053" max="2053" width="11.88671875" style="13" customWidth="1"/>
    <col min="2054" max="2054" width="20.6640625" style="13" customWidth="1"/>
    <col min="2055" max="2055" width="15.6640625" style="13" customWidth="1"/>
    <col min="2056" max="2057" width="16.109375" style="13" bestFit="1" customWidth="1"/>
    <col min="2058" max="2058" width="13.6640625" style="13" customWidth="1"/>
    <col min="2059" max="2059" width="12.6640625" style="13" bestFit="1" customWidth="1"/>
    <col min="2060" max="2060" width="15.5546875" style="13" customWidth="1"/>
    <col min="2061" max="2061" width="16.109375" style="13" bestFit="1" customWidth="1"/>
    <col min="2062" max="2062" width="13.33203125" style="13" bestFit="1" customWidth="1"/>
    <col min="2063" max="2063" width="16.33203125" style="13" bestFit="1" customWidth="1"/>
    <col min="2064" max="2064" width="9.33203125" style="13" bestFit="1" customWidth="1"/>
    <col min="2065" max="2065" width="13" style="13" bestFit="1" customWidth="1"/>
    <col min="2066" max="2066" width="20.109375" style="13" bestFit="1" customWidth="1"/>
    <col min="2067" max="2067" width="50.33203125" style="13" bestFit="1" customWidth="1"/>
    <col min="2068" max="2068" width="16.109375" style="13" bestFit="1" customWidth="1"/>
    <col min="2069" max="2069" width="12.33203125" style="13" customWidth="1"/>
    <col min="2070" max="2070" width="18.88671875" style="13" bestFit="1" customWidth="1"/>
    <col min="2071" max="2071" width="16.6640625" style="13" customWidth="1"/>
    <col min="2072" max="2072" width="19" style="13" bestFit="1" customWidth="1"/>
    <col min="2073" max="2073" width="9.109375" style="13"/>
    <col min="2074" max="2074" width="18.88671875" style="13" bestFit="1" customWidth="1"/>
    <col min="2075" max="2304" width="9.109375" style="13"/>
    <col min="2305" max="2305" width="10.5546875" style="13" bestFit="1" customWidth="1"/>
    <col min="2306" max="2306" width="44.109375" style="13" customWidth="1"/>
    <col min="2307" max="2307" width="14.6640625" style="13" customWidth="1"/>
    <col min="2308" max="2308" width="23.6640625" style="13" bestFit="1" customWidth="1"/>
    <col min="2309" max="2309" width="11.88671875" style="13" customWidth="1"/>
    <col min="2310" max="2310" width="20.6640625" style="13" customWidth="1"/>
    <col min="2311" max="2311" width="15.6640625" style="13" customWidth="1"/>
    <col min="2312" max="2313" width="16.109375" style="13" bestFit="1" customWidth="1"/>
    <col min="2314" max="2314" width="13.6640625" style="13" customWidth="1"/>
    <col min="2315" max="2315" width="12.6640625" style="13" bestFit="1" customWidth="1"/>
    <col min="2316" max="2316" width="15.5546875" style="13" customWidth="1"/>
    <col min="2317" max="2317" width="16.109375" style="13" bestFit="1" customWidth="1"/>
    <col min="2318" max="2318" width="13.33203125" style="13" bestFit="1" customWidth="1"/>
    <col min="2319" max="2319" width="16.33203125" style="13" bestFit="1" customWidth="1"/>
    <col min="2320" max="2320" width="9.33203125" style="13" bestFit="1" customWidth="1"/>
    <col min="2321" max="2321" width="13" style="13" bestFit="1" customWidth="1"/>
    <col min="2322" max="2322" width="20.109375" style="13" bestFit="1" customWidth="1"/>
    <col min="2323" max="2323" width="50.33203125" style="13" bestFit="1" customWidth="1"/>
    <col min="2324" max="2324" width="16.109375" style="13" bestFit="1" customWidth="1"/>
    <col min="2325" max="2325" width="12.33203125" style="13" customWidth="1"/>
    <col min="2326" max="2326" width="18.88671875" style="13" bestFit="1" customWidth="1"/>
    <col min="2327" max="2327" width="16.6640625" style="13" customWidth="1"/>
    <col min="2328" max="2328" width="19" style="13" bestFit="1" customWidth="1"/>
    <col min="2329" max="2329" width="9.109375" style="13"/>
    <col min="2330" max="2330" width="18.88671875" style="13" bestFit="1" customWidth="1"/>
    <col min="2331" max="2560" width="9.109375" style="13"/>
    <col min="2561" max="2561" width="10.5546875" style="13" bestFit="1" customWidth="1"/>
    <col min="2562" max="2562" width="44.109375" style="13" customWidth="1"/>
    <col min="2563" max="2563" width="14.6640625" style="13" customWidth="1"/>
    <col min="2564" max="2564" width="23.6640625" style="13" bestFit="1" customWidth="1"/>
    <col min="2565" max="2565" width="11.88671875" style="13" customWidth="1"/>
    <col min="2566" max="2566" width="20.6640625" style="13" customWidth="1"/>
    <col min="2567" max="2567" width="15.6640625" style="13" customWidth="1"/>
    <col min="2568" max="2569" width="16.109375" style="13" bestFit="1" customWidth="1"/>
    <col min="2570" max="2570" width="13.6640625" style="13" customWidth="1"/>
    <col min="2571" max="2571" width="12.6640625" style="13" bestFit="1" customWidth="1"/>
    <col min="2572" max="2572" width="15.5546875" style="13" customWidth="1"/>
    <col min="2573" max="2573" width="16.109375" style="13" bestFit="1" customWidth="1"/>
    <col min="2574" max="2574" width="13.33203125" style="13" bestFit="1" customWidth="1"/>
    <col min="2575" max="2575" width="16.33203125" style="13" bestFit="1" customWidth="1"/>
    <col min="2576" max="2576" width="9.33203125" style="13" bestFit="1" customWidth="1"/>
    <col min="2577" max="2577" width="13" style="13" bestFit="1" customWidth="1"/>
    <col min="2578" max="2578" width="20.109375" style="13" bestFit="1" customWidth="1"/>
    <col min="2579" max="2579" width="50.33203125" style="13" bestFit="1" customWidth="1"/>
    <col min="2580" max="2580" width="16.109375" style="13" bestFit="1" customWidth="1"/>
    <col min="2581" max="2581" width="12.33203125" style="13" customWidth="1"/>
    <col min="2582" max="2582" width="18.88671875" style="13" bestFit="1" customWidth="1"/>
    <col min="2583" max="2583" width="16.6640625" style="13" customWidth="1"/>
    <col min="2584" max="2584" width="19" style="13" bestFit="1" customWidth="1"/>
    <col min="2585" max="2585" width="9.109375" style="13"/>
    <col min="2586" max="2586" width="18.88671875" style="13" bestFit="1" customWidth="1"/>
    <col min="2587" max="2816" width="9.109375" style="13"/>
    <col min="2817" max="2817" width="10.5546875" style="13" bestFit="1" customWidth="1"/>
    <col min="2818" max="2818" width="44.109375" style="13" customWidth="1"/>
    <col min="2819" max="2819" width="14.6640625" style="13" customWidth="1"/>
    <col min="2820" max="2820" width="23.6640625" style="13" bestFit="1" customWidth="1"/>
    <col min="2821" max="2821" width="11.88671875" style="13" customWidth="1"/>
    <col min="2822" max="2822" width="20.6640625" style="13" customWidth="1"/>
    <col min="2823" max="2823" width="15.6640625" style="13" customWidth="1"/>
    <col min="2824" max="2825" width="16.109375" style="13" bestFit="1" customWidth="1"/>
    <col min="2826" max="2826" width="13.6640625" style="13" customWidth="1"/>
    <col min="2827" max="2827" width="12.6640625" style="13" bestFit="1" customWidth="1"/>
    <col min="2828" max="2828" width="15.5546875" style="13" customWidth="1"/>
    <col min="2829" max="2829" width="16.109375" style="13" bestFit="1" customWidth="1"/>
    <col min="2830" max="2830" width="13.33203125" style="13" bestFit="1" customWidth="1"/>
    <col min="2831" max="2831" width="16.33203125" style="13" bestFit="1" customWidth="1"/>
    <col min="2832" max="2832" width="9.33203125" style="13" bestFit="1" customWidth="1"/>
    <col min="2833" max="2833" width="13" style="13" bestFit="1" customWidth="1"/>
    <col min="2834" max="2834" width="20.109375" style="13" bestFit="1" customWidth="1"/>
    <col min="2835" max="2835" width="50.33203125" style="13" bestFit="1" customWidth="1"/>
    <col min="2836" max="2836" width="16.109375" style="13" bestFit="1" customWidth="1"/>
    <col min="2837" max="2837" width="12.33203125" style="13" customWidth="1"/>
    <col min="2838" max="2838" width="18.88671875" style="13" bestFit="1" customWidth="1"/>
    <col min="2839" max="2839" width="16.6640625" style="13" customWidth="1"/>
    <col min="2840" max="2840" width="19" style="13" bestFit="1" customWidth="1"/>
    <col min="2841" max="2841" width="9.109375" style="13"/>
    <col min="2842" max="2842" width="18.88671875" style="13" bestFit="1" customWidth="1"/>
    <col min="2843" max="3072" width="9.109375" style="13"/>
    <col min="3073" max="3073" width="10.5546875" style="13" bestFit="1" customWidth="1"/>
    <col min="3074" max="3074" width="44.109375" style="13" customWidth="1"/>
    <col min="3075" max="3075" width="14.6640625" style="13" customWidth="1"/>
    <col min="3076" max="3076" width="23.6640625" style="13" bestFit="1" customWidth="1"/>
    <col min="3077" max="3077" width="11.88671875" style="13" customWidth="1"/>
    <col min="3078" max="3078" width="20.6640625" style="13" customWidth="1"/>
    <col min="3079" max="3079" width="15.6640625" style="13" customWidth="1"/>
    <col min="3080" max="3081" width="16.109375" style="13" bestFit="1" customWidth="1"/>
    <col min="3082" max="3082" width="13.6640625" style="13" customWidth="1"/>
    <col min="3083" max="3083" width="12.6640625" style="13" bestFit="1" customWidth="1"/>
    <col min="3084" max="3084" width="15.5546875" style="13" customWidth="1"/>
    <col min="3085" max="3085" width="16.109375" style="13" bestFit="1" customWidth="1"/>
    <col min="3086" max="3086" width="13.33203125" style="13" bestFit="1" customWidth="1"/>
    <col min="3087" max="3087" width="16.33203125" style="13" bestFit="1" customWidth="1"/>
    <col min="3088" max="3088" width="9.33203125" style="13" bestFit="1" customWidth="1"/>
    <col min="3089" max="3089" width="13" style="13" bestFit="1" customWidth="1"/>
    <col min="3090" max="3090" width="20.109375" style="13" bestFit="1" customWidth="1"/>
    <col min="3091" max="3091" width="50.33203125" style="13" bestFit="1" customWidth="1"/>
    <col min="3092" max="3092" width="16.109375" style="13" bestFit="1" customWidth="1"/>
    <col min="3093" max="3093" width="12.33203125" style="13" customWidth="1"/>
    <col min="3094" max="3094" width="18.88671875" style="13" bestFit="1" customWidth="1"/>
    <col min="3095" max="3095" width="16.6640625" style="13" customWidth="1"/>
    <col min="3096" max="3096" width="19" style="13" bestFit="1" customWidth="1"/>
    <col min="3097" max="3097" width="9.109375" style="13"/>
    <col min="3098" max="3098" width="18.88671875" style="13" bestFit="1" customWidth="1"/>
    <col min="3099" max="3328" width="9.109375" style="13"/>
    <col min="3329" max="3329" width="10.5546875" style="13" bestFit="1" customWidth="1"/>
    <col min="3330" max="3330" width="44.109375" style="13" customWidth="1"/>
    <col min="3331" max="3331" width="14.6640625" style="13" customWidth="1"/>
    <col min="3332" max="3332" width="23.6640625" style="13" bestFit="1" customWidth="1"/>
    <col min="3333" max="3333" width="11.88671875" style="13" customWidth="1"/>
    <col min="3334" max="3334" width="20.6640625" style="13" customWidth="1"/>
    <col min="3335" max="3335" width="15.6640625" style="13" customWidth="1"/>
    <col min="3336" max="3337" width="16.109375" style="13" bestFit="1" customWidth="1"/>
    <col min="3338" max="3338" width="13.6640625" style="13" customWidth="1"/>
    <col min="3339" max="3339" width="12.6640625" style="13" bestFit="1" customWidth="1"/>
    <col min="3340" max="3340" width="15.5546875" style="13" customWidth="1"/>
    <col min="3341" max="3341" width="16.109375" style="13" bestFit="1" customWidth="1"/>
    <col min="3342" max="3342" width="13.33203125" style="13" bestFit="1" customWidth="1"/>
    <col min="3343" max="3343" width="16.33203125" style="13" bestFit="1" customWidth="1"/>
    <col min="3344" max="3344" width="9.33203125" style="13" bestFit="1" customWidth="1"/>
    <col min="3345" max="3345" width="13" style="13" bestFit="1" customWidth="1"/>
    <col min="3346" max="3346" width="20.109375" style="13" bestFit="1" customWidth="1"/>
    <col min="3347" max="3347" width="50.33203125" style="13" bestFit="1" customWidth="1"/>
    <col min="3348" max="3348" width="16.109375" style="13" bestFit="1" customWidth="1"/>
    <col min="3349" max="3349" width="12.33203125" style="13" customWidth="1"/>
    <col min="3350" max="3350" width="18.88671875" style="13" bestFit="1" customWidth="1"/>
    <col min="3351" max="3351" width="16.6640625" style="13" customWidth="1"/>
    <col min="3352" max="3352" width="19" style="13" bestFit="1" customWidth="1"/>
    <col min="3353" max="3353" width="9.109375" style="13"/>
    <col min="3354" max="3354" width="18.88671875" style="13" bestFit="1" customWidth="1"/>
    <col min="3355" max="3584" width="9.109375" style="13"/>
    <col min="3585" max="3585" width="10.5546875" style="13" bestFit="1" customWidth="1"/>
    <col min="3586" max="3586" width="44.109375" style="13" customWidth="1"/>
    <col min="3587" max="3587" width="14.6640625" style="13" customWidth="1"/>
    <col min="3588" max="3588" width="23.6640625" style="13" bestFit="1" customWidth="1"/>
    <col min="3589" max="3589" width="11.88671875" style="13" customWidth="1"/>
    <col min="3590" max="3590" width="20.6640625" style="13" customWidth="1"/>
    <col min="3591" max="3591" width="15.6640625" style="13" customWidth="1"/>
    <col min="3592" max="3593" width="16.109375" style="13" bestFit="1" customWidth="1"/>
    <col min="3594" max="3594" width="13.6640625" style="13" customWidth="1"/>
    <col min="3595" max="3595" width="12.6640625" style="13" bestFit="1" customWidth="1"/>
    <col min="3596" max="3596" width="15.5546875" style="13" customWidth="1"/>
    <col min="3597" max="3597" width="16.109375" style="13" bestFit="1" customWidth="1"/>
    <col min="3598" max="3598" width="13.33203125" style="13" bestFit="1" customWidth="1"/>
    <col min="3599" max="3599" width="16.33203125" style="13" bestFit="1" customWidth="1"/>
    <col min="3600" max="3600" width="9.33203125" style="13" bestFit="1" customWidth="1"/>
    <col min="3601" max="3601" width="13" style="13" bestFit="1" customWidth="1"/>
    <col min="3602" max="3602" width="20.109375" style="13" bestFit="1" customWidth="1"/>
    <col min="3603" max="3603" width="50.33203125" style="13" bestFit="1" customWidth="1"/>
    <col min="3604" max="3604" width="16.109375" style="13" bestFit="1" customWidth="1"/>
    <col min="3605" max="3605" width="12.33203125" style="13" customWidth="1"/>
    <col min="3606" max="3606" width="18.88671875" style="13" bestFit="1" customWidth="1"/>
    <col min="3607" max="3607" width="16.6640625" style="13" customWidth="1"/>
    <col min="3608" max="3608" width="19" style="13" bestFit="1" customWidth="1"/>
    <col min="3609" max="3609" width="9.109375" style="13"/>
    <col min="3610" max="3610" width="18.88671875" style="13" bestFit="1" customWidth="1"/>
    <col min="3611" max="3840" width="9.109375" style="13"/>
    <col min="3841" max="3841" width="10.5546875" style="13" bestFit="1" customWidth="1"/>
    <col min="3842" max="3842" width="44.109375" style="13" customWidth="1"/>
    <col min="3843" max="3843" width="14.6640625" style="13" customWidth="1"/>
    <col min="3844" max="3844" width="23.6640625" style="13" bestFit="1" customWidth="1"/>
    <col min="3845" max="3845" width="11.88671875" style="13" customWidth="1"/>
    <col min="3846" max="3846" width="20.6640625" style="13" customWidth="1"/>
    <col min="3847" max="3847" width="15.6640625" style="13" customWidth="1"/>
    <col min="3848" max="3849" width="16.109375" style="13" bestFit="1" customWidth="1"/>
    <col min="3850" max="3850" width="13.6640625" style="13" customWidth="1"/>
    <col min="3851" max="3851" width="12.6640625" style="13" bestFit="1" customWidth="1"/>
    <col min="3852" max="3852" width="15.5546875" style="13" customWidth="1"/>
    <col min="3853" max="3853" width="16.109375" style="13" bestFit="1" customWidth="1"/>
    <col min="3854" max="3854" width="13.33203125" style="13" bestFit="1" customWidth="1"/>
    <col min="3855" max="3855" width="16.33203125" style="13" bestFit="1" customWidth="1"/>
    <col min="3856" max="3856" width="9.33203125" style="13" bestFit="1" customWidth="1"/>
    <col min="3857" max="3857" width="13" style="13" bestFit="1" customWidth="1"/>
    <col min="3858" max="3858" width="20.109375" style="13" bestFit="1" customWidth="1"/>
    <col min="3859" max="3859" width="50.33203125" style="13" bestFit="1" customWidth="1"/>
    <col min="3860" max="3860" width="16.109375" style="13" bestFit="1" customWidth="1"/>
    <col min="3861" max="3861" width="12.33203125" style="13" customWidth="1"/>
    <col min="3862" max="3862" width="18.88671875" style="13" bestFit="1" customWidth="1"/>
    <col min="3863" max="3863" width="16.6640625" style="13" customWidth="1"/>
    <col min="3864" max="3864" width="19" style="13" bestFit="1" customWidth="1"/>
    <col min="3865" max="3865" width="9.109375" style="13"/>
    <col min="3866" max="3866" width="18.88671875" style="13" bestFit="1" customWidth="1"/>
    <col min="3867" max="4096" width="9.109375" style="13"/>
    <col min="4097" max="4097" width="10.5546875" style="13" bestFit="1" customWidth="1"/>
    <col min="4098" max="4098" width="44.109375" style="13" customWidth="1"/>
    <col min="4099" max="4099" width="14.6640625" style="13" customWidth="1"/>
    <col min="4100" max="4100" width="23.6640625" style="13" bestFit="1" customWidth="1"/>
    <col min="4101" max="4101" width="11.88671875" style="13" customWidth="1"/>
    <col min="4102" max="4102" width="20.6640625" style="13" customWidth="1"/>
    <col min="4103" max="4103" width="15.6640625" style="13" customWidth="1"/>
    <col min="4104" max="4105" width="16.109375" style="13" bestFit="1" customWidth="1"/>
    <col min="4106" max="4106" width="13.6640625" style="13" customWidth="1"/>
    <col min="4107" max="4107" width="12.6640625" style="13" bestFit="1" customWidth="1"/>
    <col min="4108" max="4108" width="15.5546875" style="13" customWidth="1"/>
    <col min="4109" max="4109" width="16.109375" style="13" bestFit="1" customWidth="1"/>
    <col min="4110" max="4110" width="13.33203125" style="13" bestFit="1" customWidth="1"/>
    <col min="4111" max="4111" width="16.33203125" style="13" bestFit="1" customWidth="1"/>
    <col min="4112" max="4112" width="9.33203125" style="13" bestFit="1" customWidth="1"/>
    <col min="4113" max="4113" width="13" style="13" bestFit="1" customWidth="1"/>
    <col min="4114" max="4114" width="20.109375" style="13" bestFit="1" customWidth="1"/>
    <col min="4115" max="4115" width="50.33203125" style="13" bestFit="1" customWidth="1"/>
    <col min="4116" max="4116" width="16.109375" style="13" bestFit="1" customWidth="1"/>
    <col min="4117" max="4117" width="12.33203125" style="13" customWidth="1"/>
    <col min="4118" max="4118" width="18.88671875" style="13" bestFit="1" customWidth="1"/>
    <col min="4119" max="4119" width="16.6640625" style="13" customWidth="1"/>
    <col min="4120" max="4120" width="19" style="13" bestFit="1" customWidth="1"/>
    <col min="4121" max="4121" width="9.109375" style="13"/>
    <col min="4122" max="4122" width="18.88671875" style="13" bestFit="1" customWidth="1"/>
    <col min="4123" max="4352" width="9.109375" style="13"/>
    <col min="4353" max="4353" width="10.5546875" style="13" bestFit="1" customWidth="1"/>
    <col min="4354" max="4354" width="44.109375" style="13" customWidth="1"/>
    <col min="4355" max="4355" width="14.6640625" style="13" customWidth="1"/>
    <col min="4356" max="4356" width="23.6640625" style="13" bestFit="1" customWidth="1"/>
    <col min="4357" max="4357" width="11.88671875" style="13" customWidth="1"/>
    <col min="4358" max="4358" width="20.6640625" style="13" customWidth="1"/>
    <col min="4359" max="4359" width="15.6640625" style="13" customWidth="1"/>
    <col min="4360" max="4361" width="16.109375" style="13" bestFit="1" customWidth="1"/>
    <col min="4362" max="4362" width="13.6640625" style="13" customWidth="1"/>
    <col min="4363" max="4363" width="12.6640625" style="13" bestFit="1" customWidth="1"/>
    <col min="4364" max="4364" width="15.5546875" style="13" customWidth="1"/>
    <col min="4365" max="4365" width="16.109375" style="13" bestFit="1" customWidth="1"/>
    <col min="4366" max="4366" width="13.33203125" style="13" bestFit="1" customWidth="1"/>
    <col min="4367" max="4367" width="16.33203125" style="13" bestFit="1" customWidth="1"/>
    <col min="4368" max="4368" width="9.33203125" style="13" bestFit="1" customWidth="1"/>
    <col min="4369" max="4369" width="13" style="13" bestFit="1" customWidth="1"/>
    <col min="4370" max="4370" width="20.109375" style="13" bestFit="1" customWidth="1"/>
    <col min="4371" max="4371" width="50.33203125" style="13" bestFit="1" customWidth="1"/>
    <col min="4372" max="4372" width="16.109375" style="13" bestFit="1" customWidth="1"/>
    <col min="4373" max="4373" width="12.33203125" style="13" customWidth="1"/>
    <col min="4374" max="4374" width="18.88671875" style="13" bestFit="1" customWidth="1"/>
    <col min="4375" max="4375" width="16.6640625" style="13" customWidth="1"/>
    <col min="4376" max="4376" width="19" style="13" bestFit="1" customWidth="1"/>
    <col min="4377" max="4377" width="9.109375" style="13"/>
    <col min="4378" max="4378" width="18.88671875" style="13" bestFit="1" customWidth="1"/>
    <col min="4379" max="4608" width="9.109375" style="13"/>
    <col min="4609" max="4609" width="10.5546875" style="13" bestFit="1" customWidth="1"/>
    <col min="4610" max="4610" width="44.109375" style="13" customWidth="1"/>
    <col min="4611" max="4611" width="14.6640625" style="13" customWidth="1"/>
    <col min="4612" max="4612" width="23.6640625" style="13" bestFit="1" customWidth="1"/>
    <col min="4613" max="4613" width="11.88671875" style="13" customWidth="1"/>
    <col min="4614" max="4614" width="20.6640625" style="13" customWidth="1"/>
    <col min="4615" max="4615" width="15.6640625" style="13" customWidth="1"/>
    <col min="4616" max="4617" width="16.109375" style="13" bestFit="1" customWidth="1"/>
    <col min="4618" max="4618" width="13.6640625" style="13" customWidth="1"/>
    <col min="4619" max="4619" width="12.6640625" style="13" bestFit="1" customWidth="1"/>
    <col min="4620" max="4620" width="15.5546875" style="13" customWidth="1"/>
    <col min="4621" max="4621" width="16.109375" style="13" bestFit="1" customWidth="1"/>
    <col min="4622" max="4622" width="13.33203125" style="13" bestFit="1" customWidth="1"/>
    <col min="4623" max="4623" width="16.33203125" style="13" bestFit="1" customWidth="1"/>
    <col min="4624" max="4624" width="9.33203125" style="13" bestFit="1" customWidth="1"/>
    <col min="4625" max="4625" width="13" style="13" bestFit="1" customWidth="1"/>
    <col min="4626" max="4626" width="20.109375" style="13" bestFit="1" customWidth="1"/>
    <col min="4627" max="4627" width="50.33203125" style="13" bestFit="1" customWidth="1"/>
    <col min="4628" max="4628" width="16.109375" style="13" bestFit="1" customWidth="1"/>
    <col min="4629" max="4629" width="12.33203125" style="13" customWidth="1"/>
    <col min="4630" max="4630" width="18.88671875" style="13" bestFit="1" customWidth="1"/>
    <col min="4631" max="4631" width="16.6640625" style="13" customWidth="1"/>
    <col min="4632" max="4632" width="19" style="13" bestFit="1" customWidth="1"/>
    <col min="4633" max="4633" width="9.109375" style="13"/>
    <col min="4634" max="4634" width="18.88671875" style="13" bestFit="1" customWidth="1"/>
    <col min="4635" max="4864" width="9.109375" style="13"/>
    <col min="4865" max="4865" width="10.5546875" style="13" bestFit="1" customWidth="1"/>
    <col min="4866" max="4866" width="44.109375" style="13" customWidth="1"/>
    <col min="4867" max="4867" width="14.6640625" style="13" customWidth="1"/>
    <col min="4868" max="4868" width="23.6640625" style="13" bestFit="1" customWidth="1"/>
    <col min="4869" max="4869" width="11.88671875" style="13" customWidth="1"/>
    <col min="4870" max="4870" width="20.6640625" style="13" customWidth="1"/>
    <col min="4871" max="4871" width="15.6640625" style="13" customWidth="1"/>
    <col min="4872" max="4873" width="16.109375" style="13" bestFit="1" customWidth="1"/>
    <col min="4874" max="4874" width="13.6640625" style="13" customWidth="1"/>
    <col min="4875" max="4875" width="12.6640625" style="13" bestFit="1" customWidth="1"/>
    <col min="4876" max="4876" width="15.5546875" style="13" customWidth="1"/>
    <col min="4877" max="4877" width="16.109375" style="13" bestFit="1" customWidth="1"/>
    <col min="4878" max="4878" width="13.33203125" style="13" bestFit="1" customWidth="1"/>
    <col min="4879" max="4879" width="16.33203125" style="13" bestFit="1" customWidth="1"/>
    <col min="4880" max="4880" width="9.33203125" style="13" bestFit="1" customWidth="1"/>
    <col min="4881" max="4881" width="13" style="13" bestFit="1" customWidth="1"/>
    <col min="4882" max="4882" width="20.109375" style="13" bestFit="1" customWidth="1"/>
    <col min="4883" max="4883" width="50.33203125" style="13" bestFit="1" customWidth="1"/>
    <col min="4884" max="4884" width="16.109375" style="13" bestFit="1" customWidth="1"/>
    <col min="4885" max="4885" width="12.33203125" style="13" customWidth="1"/>
    <col min="4886" max="4886" width="18.88671875" style="13" bestFit="1" customWidth="1"/>
    <col min="4887" max="4887" width="16.6640625" style="13" customWidth="1"/>
    <col min="4888" max="4888" width="19" style="13" bestFit="1" customWidth="1"/>
    <col min="4889" max="4889" width="9.109375" style="13"/>
    <col min="4890" max="4890" width="18.88671875" style="13" bestFit="1" customWidth="1"/>
    <col min="4891" max="5120" width="9.109375" style="13"/>
    <col min="5121" max="5121" width="10.5546875" style="13" bestFit="1" customWidth="1"/>
    <col min="5122" max="5122" width="44.109375" style="13" customWidth="1"/>
    <col min="5123" max="5123" width="14.6640625" style="13" customWidth="1"/>
    <col min="5124" max="5124" width="23.6640625" style="13" bestFit="1" customWidth="1"/>
    <col min="5125" max="5125" width="11.88671875" style="13" customWidth="1"/>
    <col min="5126" max="5126" width="20.6640625" style="13" customWidth="1"/>
    <col min="5127" max="5127" width="15.6640625" style="13" customWidth="1"/>
    <col min="5128" max="5129" width="16.109375" style="13" bestFit="1" customWidth="1"/>
    <col min="5130" max="5130" width="13.6640625" style="13" customWidth="1"/>
    <col min="5131" max="5131" width="12.6640625" style="13" bestFit="1" customWidth="1"/>
    <col min="5132" max="5132" width="15.5546875" style="13" customWidth="1"/>
    <col min="5133" max="5133" width="16.109375" style="13" bestFit="1" customWidth="1"/>
    <col min="5134" max="5134" width="13.33203125" style="13" bestFit="1" customWidth="1"/>
    <col min="5135" max="5135" width="16.33203125" style="13" bestFit="1" customWidth="1"/>
    <col min="5136" max="5136" width="9.33203125" style="13" bestFit="1" customWidth="1"/>
    <col min="5137" max="5137" width="13" style="13" bestFit="1" customWidth="1"/>
    <col min="5138" max="5138" width="20.109375" style="13" bestFit="1" customWidth="1"/>
    <col min="5139" max="5139" width="50.33203125" style="13" bestFit="1" customWidth="1"/>
    <col min="5140" max="5140" width="16.109375" style="13" bestFit="1" customWidth="1"/>
    <col min="5141" max="5141" width="12.33203125" style="13" customWidth="1"/>
    <col min="5142" max="5142" width="18.88671875" style="13" bestFit="1" customWidth="1"/>
    <col min="5143" max="5143" width="16.6640625" style="13" customWidth="1"/>
    <col min="5144" max="5144" width="19" style="13" bestFit="1" customWidth="1"/>
    <col min="5145" max="5145" width="9.109375" style="13"/>
    <col min="5146" max="5146" width="18.88671875" style="13" bestFit="1" customWidth="1"/>
    <col min="5147" max="5376" width="9.109375" style="13"/>
    <col min="5377" max="5377" width="10.5546875" style="13" bestFit="1" customWidth="1"/>
    <col min="5378" max="5378" width="44.109375" style="13" customWidth="1"/>
    <col min="5379" max="5379" width="14.6640625" style="13" customWidth="1"/>
    <col min="5380" max="5380" width="23.6640625" style="13" bestFit="1" customWidth="1"/>
    <col min="5381" max="5381" width="11.88671875" style="13" customWidth="1"/>
    <col min="5382" max="5382" width="20.6640625" style="13" customWidth="1"/>
    <col min="5383" max="5383" width="15.6640625" style="13" customWidth="1"/>
    <col min="5384" max="5385" width="16.109375" style="13" bestFit="1" customWidth="1"/>
    <col min="5386" max="5386" width="13.6640625" style="13" customWidth="1"/>
    <col min="5387" max="5387" width="12.6640625" style="13" bestFit="1" customWidth="1"/>
    <col min="5388" max="5388" width="15.5546875" style="13" customWidth="1"/>
    <col min="5389" max="5389" width="16.109375" style="13" bestFit="1" customWidth="1"/>
    <col min="5390" max="5390" width="13.33203125" style="13" bestFit="1" customWidth="1"/>
    <col min="5391" max="5391" width="16.33203125" style="13" bestFit="1" customWidth="1"/>
    <col min="5392" max="5392" width="9.33203125" style="13" bestFit="1" customWidth="1"/>
    <col min="5393" max="5393" width="13" style="13" bestFit="1" customWidth="1"/>
    <col min="5394" max="5394" width="20.109375" style="13" bestFit="1" customWidth="1"/>
    <col min="5395" max="5395" width="50.33203125" style="13" bestFit="1" customWidth="1"/>
    <col min="5396" max="5396" width="16.109375" style="13" bestFit="1" customWidth="1"/>
    <col min="5397" max="5397" width="12.33203125" style="13" customWidth="1"/>
    <col min="5398" max="5398" width="18.88671875" style="13" bestFit="1" customWidth="1"/>
    <col min="5399" max="5399" width="16.6640625" style="13" customWidth="1"/>
    <col min="5400" max="5400" width="19" style="13" bestFit="1" customWidth="1"/>
    <col min="5401" max="5401" width="9.109375" style="13"/>
    <col min="5402" max="5402" width="18.88671875" style="13" bestFit="1" customWidth="1"/>
    <col min="5403" max="5632" width="9.109375" style="13"/>
    <col min="5633" max="5633" width="10.5546875" style="13" bestFit="1" customWidth="1"/>
    <col min="5634" max="5634" width="44.109375" style="13" customWidth="1"/>
    <col min="5635" max="5635" width="14.6640625" style="13" customWidth="1"/>
    <col min="5636" max="5636" width="23.6640625" style="13" bestFit="1" customWidth="1"/>
    <col min="5637" max="5637" width="11.88671875" style="13" customWidth="1"/>
    <col min="5638" max="5638" width="20.6640625" style="13" customWidth="1"/>
    <col min="5639" max="5639" width="15.6640625" style="13" customWidth="1"/>
    <col min="5640" max="5641" width="16.109375" style="13" bestFit="1" customWidth="1"/>
    <col min="5642" max="5642" width="13.6640625" style="13" customWidth="1"/>
    <col min="5643" max="5643" width="12.6640625" style="13" bestFit="1" customWidth="1"/>
    <col min="5644" max="5644" width="15.5546875" style="13" customWidth="1"/>
    <col min="5645" max="5645" width="16.109375" style="13" bestFit="1" customWidth="1"/>
    <col min="5646" max="5646" width="13.33203125" style="13" bestFit="1" customWidth="1"/>
    <col min="5647" max="5647" width="16.33203125" style="13" bestFit="1" customWidth="1"/>
    <col min="5648" max="5648" width="9.33203125" style="13" bestFit="1" customWidth="1"/>
    <col min="5649" max="5649" width="13" style="13" bestFit="1" customWidth="1"/>
    <col min="5650" max="5650" width="20.109375" style="13" bestFit="1" customWidth="1"/>
    <col min="5651" max="5651" width="50.33203125" style="13" bestFit="1" customWidth="1"/>
    <col min="5652" max="5652" width="16.109375" style="13" bestFit="1" customWidth="1"/>
    <col min="5653" max="5653" width="12.33203125" style="13" customWidth="1"/>
    <col min="5654" max="5654" width="18.88671875" style="13" bestFit="1" customWidth="1"/>
    <col min="5655" max="5655" width="16.6640625" style="13" customWidth="1"/>
    <col min="5656" max="5656" width="19" style="13" bestFit="1" customWidth="1"/>
    <col min="5657" max="5657" width="9.109375" style="13"/>
    <col min="5658" max="5658" width="18.88671875" style="13" bestFit="1" customWidth="1"/>
    <col min="5659" max="5888" width="9.109375" style="13"/>
    <col min="5889" max="5889" width="10.5546875" style="13" bestFit="1" customWidth="1"/>
    <col min="5890" max="5890" width="44.109375" style="13" customWidth="1"/>
    <col min="5891" max="5891" width="14.6640625" style="13" customWidth="1"/>
    <col min="5892" max="5892" width="23.6640625" style="13" bestFit="1" customWidth="1"/>
    <col min="5893" max="5893" width="11.88671875" style="13" customWidth="1"/>
    <col min="5894" max="5894" width="20.6640625" style="13" customWidth="1"/>
    <col min="5895" max="5895" width="15.6640625" style="13" customWidth="1"/>
    <col min="5896" max="5897" width="16.109375" style="13" bestFit="1" customWidth="1"/>
    <col min="5898" max="5898" width="13.6640625" style="13" customWidth="1"/>
    <col min="5899" max="5899" width="12.6640625" style="13" bestFit="1" customWidth="1"/>
    <col min="5900" max="5900" width="15.5546875" style="13" customWidth="1"/>
    <col min="5901" max="5901" width="16.109375" style="13" bestFit="1" customWidth="1"/>
    <col min="5902" max="5902" width="13.33203125" style="13" bestFit="1" customWidth="1"/>
    <col min="5903" max="5903" width="16.33203125" style="13" bestFit="1" customWidth="1"/>
    <col min="5904" max="5904" width="9.33203125" style="13" bestFit="1" customWidth="1"/>
    <col min="5905" max="5905" width="13" style="13" bestFit="1" customWidth="1"/>
    <col min="5906" max="5906" width="20.109375" style="13" bestFit="1" customWidth="1"/>
    <col min="5907" max="5907" width="50.33203125" style="13" bestFit="1" customWidth="1"/>
    <col min="5908" max="5908" width="16.109375" style="13" bestFit="1" customWidth="1"/>
    <col min="5909" max="5909" width="12.33203125" style="13" customWidth="1"/>
    <col min="5910" max="5910" width="18.88671875" style="13" bestFit="1" customWidth="1"/>
    <col min="5911" max="5911" width="16.6640625" style="13" customWidth="1"/>
    <col min="5912" max="5912" width="19" style="13" bestFit="1" customWidth="1"/>
    <col min="5913" max="5913" width="9.109375" style="13"/>
    <col min="5914" max="5914" width="18.88671875" style="13" bestFit="1" customWidth="1"/>
    <col min="5915" max="6144" width="9.109375" style="13"/>
    <col min="6145" max="6145" width="10.5546875" style="13" bestFit="1" customWidth="1"/>
    <col min="6146" max="6146" width="44.109375" style="13" customWidth="1"/>
    <col min="6147" max="6147" width="14.6640625" style="13" customWidth="1"/>
    <col min="6148" max="6148" width="23.6640625" style="13" bestFit="1" customWidth="1"/>
    <col min="6149" max="6149" width="11.88671875" style="13" customWidth="1"/>
    <col min="6150" max="6150" width="20.6640625" style="13" customWidth="1"/>
    <col min="6151" max="6151" width="15.6640625" style="13" customWidth="1"/>
    <col min="6152" max="6153" width="16.109375" style="13" bestFit="1" customWidth="1"/>
    <col min="6154" max="6154" width="13.6640625" style="13" customWidth="1"/>
    <col min="6155" max="6155" width="12.6640625" style="13" bestFit="1" customWidth="1"/>
    <col min="6156" max="6156" width="15.5546875" style="13" customWidth="1"/>
    <col min="6157" max="6157" width="16.109375" style="13" bestFit="1" customWidth="1"/>
    <col min="6158" max="6158" width="13.33203125" style="13" bestFit="1" customWidth="1"/>
    <col min="6159" max="6159" width="16.33203125" style="13" bestFit="1" customWidth="1"/>
    <col min="6160" max="6160" width="9.33203125" style="13" bestFit="1" customWidth="1"/>
    <col min="6161" max="6161" width="13" style="13" bestFit="1" customWidth="1"/>
    <col min="6162" max="6162" width="20.109375" style="13" bestFit="1" customWidth="1"/>
    <col min="6163" max="6163" width="50.33203125" style="13" bestFit="1" customWidth="1"/>
    <col min="6164" max="6164" width="16.109375" style="13" bestFit="1" customWidth="1"/>
    <col min="6165" max="6165" width="12.33203125" style="13" customWidth="1"/>
    <col min="6166" max="6166" width="18.88671875" style="13" bestFit="1" customWidth="1"/>
    <col min="6167" max="6167" width="16.6640625" style="13" customWidth="1"/>
    <col min="6168" max="6168" width="19" style="13" bestFit="1" customWidth="1"/>
    <col min="6169" max="6169" width="9.109375" style="13"/>
    <col min="6170" max="6170" width="18.88671875" style="13" bestFit="1" customWidth="1"/>
    <col min="6171" max="6400" width="9.109375" style="13"/>
    <col min="6401" max="6401" width="10.5546875" style="13" bestFit="1" customWidth="1"/>
    <col min="6402" max="6402" width="44.109375" style="13" customWidth="1"/>
    <col min="6403" max="6403" width="14.6640625" style="13" customWidth="1"/>
    <col min="6404" max="6404" width="23.6640625" style="13" bestFit="1" customWidth="1"/>
    <col min="6405" max="6405" width="11.88671875" style="13" customWidth="1"/>
    <col min="6406" max="6406" width="20.6640625" style="13" customWidth="1"/>
    <col min="6407" max="6407" width="15.6640625" style="13" customWidth="1"/>
    <col min="6408" max="6409" width="16.109375" style="13" bestFit="1" customWidth="1"/>
    <col min="6410" max="6410" width="13.6640625" style="13" customWidth="1"/>
    <col min="6411" max="6411" width="12.6640625" style="13" bestFit="1" customWidth="1"/>
    <col min="6412" max="6412" width="15.5546875" style="13" customWidth="1"/>
    <col min="6413" max="6413" width="16.109375" style="13" bestFit="1" customWidth="1"/>
    <col min="6414" max="6414" width="13.33203125" style="13" bestFit="1" customWidth="1"/>
    <col min="6415" max="6415" width="16.33203125" style="13" bestFit="1" customWidth="1"/>
    <col min="6416" max="6416" width="9.33203125" style="13" bestFit="1" customWidth="1"/>
    <col min="6417" max="6417" width="13" style="13" bestFit="1" customWidth="1"/>
    <col min="6418" max="6418" width="20.109375" style="13" bestFit="1" customWidth="1"/>
    <col min="6419" max="6419" width="50.33203125" style="13" bestFit="1" customWidth="1"/>
    <col min="6420" max="6420" width="16.109375" style="13" bestFit="1" customWidth="1"/>
    <col min="6421" max="6421" width="12.33203125" style="13" customWidth="1"/>
    <col min="6422" max="6422" width="18.88671875" style="13" bestFit="1" customWidth="1"/>
    <col min="6423" max="6423" width="16.6640625" style="13" customWidth="1"/>
    <col min="6424" max="6424" width="19" style="13" bestFit="1" customWidth="1"/>
    <col min="6425" max="6425" width="9.109375" style="13"/>
    <col min="6426" max="6426" width="18.88671875" style="13" bestFit="1" customWidth="1"/>
    <col min="6427" max="6656" width="9.109375" style="13"/>
    <col min="6657" max="6657" width="10.5546875" style="13" bestFit="1" customWidth="1"/>
    <col min="6658" max="6658" width="44.109375" style="13" customWidth="1"/>
    <col min="6659" max="6659" width="14.6640625" style="13" customWidth="1"/>
    <col min="6660" max="6660" width="23.6640625" style="13" bestFit="1" customWidth="1"/>
    <col min="6661" max="6661" width="11.88671875" style="13" customWidth="1"/>
    <col min="6662" max="6662" width="20.6640625" style="13" customWidth="1"/>
    <col min="6663" max="6663" width="15.6640625" style="13" customWidth="1"/>
    <col min="6664" max="6665" width="16.109375" style="13" bestFit="1" customWidth="1"/>
    <col min="6666" max="6666" width="13.6640625" style="13" customWidth="1"/>
    <col min="6667" max="6667" width="12.6640625" style="13" bestFit="1" customWidth="1"/>
    <col min="6668" max="6668" width="15.5546875" style="13" customWidth="1"/>
    <col min="6669" max="6669" width="16.109375" style="13" bestFit="1" customWidth="1"/>
    <col min="6670" max="6670" width="13.33203125" style="13" bestFit="1" customWidth="1"/>
    <col min="6671" max="6671" width="16.33203125" style="13" bestFit="1" customWidth="1"/>
    <col min="6672" max="6672" width="9.33203125" style="13" bestFit="1" customWidth="1"/>
    <col min="6673" max="6673" width="13" style="13" bestFit="1" customWidth="1"/>
    <col min="6674" max="6674" width="20.109375" style="13" bestFit="1" customWidth="1"/>
    <col min="6675" max="6675" width="50.33203125" style="13" bestFit="1" customWidth="1"/>
    <col min="6676" max="6676" width="16.109375" style="13" bestFit="1" customWidth="1"/>
    <col min="6677" max="6677" width="12.33203125" style="13" customWidth="1"/>
    <col min="6678" max="6678" width="18.88671875" style="13" bestFit="1" customWidth="1"/>
    <col min="6679" max="6679" width="16.6640625" style="13" customWidth="1"/>
    <col min="6680" max="6680" width="19" style="13" bestFit="1" customWidth="1"/>
    <col min="6681" max="6681" width="9.109375" style="13"/>
    <col min="6682" max="6682" width="18.88671875" style="13" bestFit="1" customWidth="1"/>
    <col min="6683" max="6912" width="9.109375" style="13"/>
    <col min="6913" max="6913" width="10.5546875" style="13" bestFit="1" customWidth="1"/>
    <col min="6914" max="6914" width="44.109375" style="13" customWidth="1"/>
    <col min="6915" max="6915" width="14.6640625" style="13" customWidth="1"/>
    <col min="6916" max="6916" width="23.6640625" style="13" bestFit="1" customWidth="1"/>
    <col min="6917" max="6917" width="11.88671875" style="13" customWidth="1"/>
    <col min="6918" max="6918" width="20.6640625" style="13" customWidth="1"/>
    <col min="6919" max="6919" width="15.6640625" style="13" customWidth="1"/>
    <col min="6920" max="6921" width="16.109375" style="13" bestFit="1" customWidth="1"/>
    <col min="6922" max="6922" width="13.6640625" style="13" customWidth="1"/>
    <col min="6923" max="6923" width="12.6640625" style="13" bestFit="1" customWidth="1"/>
    <col min="6924" max="6924" width="15.5546875" style="13" customWidth="1"/>
    <col min="6925" max="6925" width="16.109375" style="13" bestFit="1" customWidth="1"/>
    <col min="6926" max="6926" width="13.33203125" style="13" bestFit="1" customWidth="1"/>
    <col min="6927" max="6927" width="16.33203125" style="13" bestFit="1" customWidth="1"/>
    <col min="6928" max="6928" width="9.33203125" style="13" bestFit="1" customWidth="1"/>
    <col min="6929" max="6929" width="13" style="13" bestFit="1" customWidth="1"/>
    <col min="6930" max="6930" width="20.109375" style="13" bestFit="1" customWidth="1"/>
    <col min="6931" max="6931" width="50.33203125" style="13" bestFit="1" customWidth="1"/>
    <col min="6932" max="6932" width="16.109375" style="13" bestFit="1" customWidth="1"/>
    <col min="6933" max="6933" width="12.33203125" style="13" customWidth="1"/>
    <col min="6934" max="6934" width="18.88671875" style="13" bestFit="1" customWidth="1"/>
    <col min="6935" max="6935" width="16.6640625" style="13" customWidth="1"/>
    <col min="6936" max="6936" width="19" style="13" bestFit="1" customWidth="1"/>
    <col min="6937" max="6937" width="9.109375" style="13"/>
    <col min="6938" max="6938" width="18.88671875" style="13" bestFit="1" customWidth="1"/>
    <col min="6939" max="7168" width="9.109375" style="13"/>
    <col min="7169" max="7169" width="10.5546875" style="13" bestFit="1" customWidth="1"/>
    <col min="7170" max="7170" width="44.109375" style="13" customWidth="1"/>
    <col min="7171" max="7171" width="14.6640625" style="13" customWidth="1"/>
    <col min="7172" max="7172" width="23.6640625" style="13" bestFit="1" customWidth="1"/>
    <col min="7173" max="7173" width="11.88671875" style="13" customWidth="1"/>
    <col min="7174" max="7174" width="20.6640625" style="13" customWidth="1"/>
    <col min="7175" max="7175" width="15.6640625" style="13" customWidth="1"/>
    <col min="7176" max="7177" width="16.109375" style="13" bestFit="1" customWidth="1"/>
    <col min="7178" max="7178" width="13.6640625" style="13" customWidth="1"/>
    <col min="7179" max="7179" width="12.6640625" style="13" bestFit="1" customWidth="1"/>
    <col min="7180" max="7180" width="15.5546875" style="13" customWidth="1"/>
    <col min="7181" max="7181" width="16.109375" style="13" bestFit="1" customWidth="1"/>
    <col min="7182" max="7182" width="13.33203125" style="13" bestFit="1" customWidth="1"/>
    <col min="7183" max="7183" width="16.33203125" style="13" bestFit="1" customWidth="1"/>
    <col min="7184" max="7184" width="9.33203125" style="13" bestFit="1" customWidth="1"/>
    <col min="7185" max="7185" width="13" style="13" bestFit="1" customWidth="1"/>
    <col min="7186" max="7186" width="20.109375" style="13" bestFit="1" customWidth="1"/>
    <col min="7187" max="7187" width="50.33203125" style="13" bestFit="1" customWidth="1"/>
    <col min="7188" max="7188" width="16.109375" style="13" bestFit="1" customWidth="1"/>
    <col min="7189" max="7189" width="12.33203125" style="13" customWidth="1"/>
    <col min="7190" max="7190" width="18.88671875" style="13" bestFit="1" customWidth="1"/>
    <col min="7191" max="7191" width="16.6640625" style="13" customWidth="1"/>
    <col min="7192" max="7192" width="19" style="13" bestFit="1" customWidth="1"/>
    <col min="7193" max="7193" width="9.109375" style="13"/>
    <col min="7194" max="7194" width="18.88671875" style="13" bestFit="1" customWidth="1"/>
    <col min="7195" max="7424" width="9.109375" style="13"/>
    <col min="7425" max="7425" width="10.5546875" style="13" bestFit="1" customWidth="1"/>
    <col min="7426" max="7426" width="44.109375" style="13" customWidth="1"/>
    <col min="7427" max="7427" width="14.6640625" style="13" customWidth="1"/>
    <col min="7428" max="7428" width="23.6640625" style="13" bestFit="1" customWidth="1"/>
    <col min="7429" max="7429" width="11.88671875" style="13" customWidth="1"/>
    <col min="7430" max="7430" width="20.6640625" style="13" customWidth="1"/>
    <col min="7431" max="7431" width="15.6640625" style="13" customWidth="1"/>
    <col min="7432" max="7433" width="16.109375" style="13" bestFit="1" customWidth="1"/>
    <col min="7434" max="7434" width="13.6640625" style="13" customWidth="1"/>
    <col min="7435" max="7435" width="12.6640625" style="13" bestFit="1" customWidth="1"/>
    <col min="7436" max="7436" width="15.5546875" style="13" customWidth="1"/>
    <col min="7437" max="7437" width="16.109375" style="13" bestFit="1" customWidth="1"/>
    <col min="7438" max="7438" width="13.33203125" style="13" bestFit="1" customWidth="1"/>
    <col min="7439" max="7439" width="16.33203125" style="13" bestFit="1" customWidth="1"/>
    <col min="7440" max="7440" width="9.33203125" style="13" bestFit="1" customWidth="1"/>
    <col min="7441" max="7441" width="13" style="13" bestFit="1" customWidth="1"/>
    <col min="7442" max="7442" width="20.109375" style="13" bestFit="1" customWidth="1"/>
    <col min="7443" max="7443" width="50.33203125" style="13" bestFit="1" customWidth="1"/>
    <col min="7444" max="7444" width="16.109375" style="13" bestFit="1" customWidth="1"/>
    <col min="7445" max="7445" width="12.33203125" style="13" customWidth="1"/>
    <col min="7446" max="7446" width="18.88671875" style="13" bestFit="1" customWidth="1"/>
    <col min="7447" max="7447" width="16.6640625" style="13" customWidth="1"/>
    <col min="7448" max="7448" width="19" style="13" bestFit="1" customWidth="1"/>
    <col min="7449" max="7449" width="9.109375" style="13"/>
    <col min="7450" max="7450" width="18.88671875" style="13" bestFit="1" customWidth="1"/>
    <col min="7451" max="7680" width="9.109375" style="13"/>
    <col min="7681" max="7681" width="10.5546875" style="13" bestFit="1" customWidth="1"/>
    <col min="7682" max="7682" width="44.109375" style="13" customWidth="1"/>
    <col min="7683" max="7683" width="14.6640625" style="13" customWidth="1"/>
    <col min="7684" max="7684" width="23.6640625" style="13" bestFit="1" customWidth="1"/>
    <col min="7685" max="7685" width="11.88671875" style="13" customWidth="1"/>
    <col min="7686" max="7686" width="20.6640625" style="13" customWidth="1"/>
    <col min="7687" max="7687" width="15.6640625" style="13" customWidth="1"/>
    <col min="7688" max="7689" width="16.109375" style="13" bestFit="1" customWidth="1"/>
    <col min="7690" max="7690" width="13.6640625" style="13" customWidth="1"/>
    <col min="7691" max="7691" width="12.6640625" style="13" bestFit="1" customWidth="1"/>
    <col min="7692" max="7692" width="15.5546875" style="13" customWidth="1"/>
    <col min="7693" max="7693" width="16.109375" style="13" bestFit="1" customWidth="1"/>
    <col min="7694" max="7694" width="13.33203125" style="13" bestFit="1" customWidth="1"/>
    <col min="7695" max="7695" width="16.33203125" style="13" bestFit="1" customWidth="1"/>
    <col min="7696" max="7696" width="9.33203125" style="13" bestFit="1" customWidth="1"/>
    <col min="7697" max="7697" width="13" style="13" bestFit="1" customWidth="1"/>
    <col min="7698" max="7698" width="20.109375" style="13" bestFit="1" customWidth="1"/>
    <col min="7699" max="7699" width="50.33203125" style="13" bestFit="1" customWidth="1"/>
    <col min="7700" max="7700" width="16.109375" style="13" bestFit="1" customWidth="1"/>
    <col min="7701" max="7701" width="12.33203125" style="13" customWidth="1"/>
    <col min="7702" max="7702" width="18.88671875" style="13" bestFit="1" customWidth="1"/>
    <col min="7703" max="7703" width="16.6640625" style="13" customWidth="1"/>
    <col min="7704" max="7704" width="19" style="13" bestFit="1" customWidth="1"/>
    <col min="7705" max="7705" width="9.109375" style="13"/>
    <col min="7706" max="7706" width="18.88671875" style="13" bestFit="1" customWidth="1"/>
    <col min="7707" max="7936" width="9.109375" style="13"/>
    <col min="7937" max="7937" width="10.5546875" style="13" bestFit="1" customWidth="1"/>
    <col min="7938" max="7938" width="44.109375" style="13" customWidth="1"/>
    <col min="7939" max="7939" width="14.6640625" style="13" customWidth="1"/>
    <col min="7940" max="7940" width="23.6640625" style="13" bestFit="1" customWidth="1"/>
    <col min="7941" max="7941" width="11.88671875" style="13" customWidth="1"/>
    <col min="7942" max="7942" width="20.6640625" style="13" customWidth="1"/>
    <col min="7943" max="7943" width="15.6640625" style="13" customWidth="1"/>
    <col min="7944" max="7945" width="16.109375" style="13" bestFit="1" customWidth="1"/>
    <col min="7946" max="7946" width="13.6640625" style="13" customWidth="1"/>
    <col min="7947" max="7947" width="12.6640625" style="13" bestFit="1" customWidth="1"/>
    <col min="7948" max="7948" width="15.5546875" style="13" customWidth="1"/>
    <col min="7949" max="7949" width="16.109375" style="13" bestFit="1" customWidth="1"/>
    <col min="7950" max="7950" width="13.33203125" style="13" bestFit="1" customWidth="1"/>
    <col min="7951" max="7951" width="16.33203125" style="13" bestFit="1" customWidth="1"/>
    <col min="7952" max="7952" width="9.33203125" style="13" bestFit="1" customWidth="1"/>
    <col min="7953" max="7953" width="13" style="13" bestFit="1" customWidth="1"/>
    <col min="7954" max="7954" width="20.109375" style="13" bestFit="1" customWidth="1"/>
    <col min="7955" max="7955" width="50.33203125" style="13" bestFit="1" customWidth="1"/>
    <col min="7956" max="7956" width="16.109375" style="13" bestFit="1" customWidth="1"/>
    <col min="7957" max="7957" width="12.33203125" style="13" customWidth="1"/>
    <col min="7958" max="7958" width="18.88671875" style="13" bestFit="1" customWidth="1"/>
    <col min="7959" max="7959" width="16.6640625" style="13" customWidth="1"/>
    <col min="7960" max="7960" width="19" style="13" bestFit="1" customWidth="1"/>
    <col min="7961" max="7961" width="9.109375" style="13"/>
    <col min="7962" max="7962" width="18.88671875" style="13" bestFit="1" customWidth="1"/>
    <col min="7963" max="8192" width="9.109375" style="13"/>
    <col min="8193" max="8193" width="10.5546875" style="13" bestFit="1" customWidth="1"/>
    <col min="8194" max="8194" width="44.109375" style="13" customWidth="1"/>
    <col min="8195" max="8195" width="14.6640625" style="13" customWidth="1"/>
    <col min="8196" max="8196" width="23.6640625" style="13" bestFit="1" customWidth="1"/>
    <col min="8197" max="8197" width="11.88671875" style="13" customWidth="1"/>
    <col min="8198" max="8198" width="20.6640625" style="13" customWidth="1"/>
    <col min="8199" max="8199" width="15.6640625" style="13" customWidth="1"/>
    <col min="8200" max="8201" width="16.109375" style="13" bestFit="1" customWidth="1"/>
    <col min="8202" max="8202" width="13.6640625" style="13" customWidth="1"/>
    <col min="8203" max="8203" width="12.6640625" style="13" bestFit="1" customWidth="1"/>
    <col min="8204" max="8204" width="15.5546875" style="13" customWidth="1"/>
    <col min="8205" max="8205" width="16.109375" style="13" bestFit="1" customWidth="1"/>
    <col min="8206" max="8206" width="13.33203125" style="13" bestFit="1" customWidth="1"/>
    <col min="8207" max="8207" width="16.33203125" style="13" bestFit="1" customWidth="1"/>
    <col min="8208" max="8208" width="9.33203125" style="13" bestFit="1" customWidth="1"/>
    <col min="8209" max="8209" width="13" style="13" bestFit="1" customWidth="1"/>
    <col min="8210" max="8210" width="20.109375" style="13" bestFit="1" customWidth="1"/>
    <col min="8211" max="8211" width="50.33203125" style="13" bestFit="1" customWidth="1"/>
    <col min="8212" max="8212" width="16.109375" style="13" bestFit="1" customWidth="1"/>
    <col min="8213" max="8213" width="12.33203125" style="13" customWidth="1"/>
    <col min="8214" max="8214" width="18.88671875" style="13" bestFit="1" customWidth="1"/>
    <col min="8215" max="8215" width="16.6640625" style="13" customWidth="1"/>
    <col min="8216" max="8216" width="19" style="13" bestFit="1" customWidth="1"/>
    <col min="8217" max="8217" width="9.109375" style="13"/>
    <col min="8218" max="8218" width="18.88671875" style="13" bestFit="1" customWidth="1"/>
    <col min="8219" max="8448" width="9.109375" style="13"/>
    <col min="8449" max="8449" width="10.5546875" style="13" bestFit="1" customWidth="1"/>
    <col min="8450" max="8450" width="44.109375" style="13" customWidth="1"/>
    <col min="8451" max="8451" width="14.6640625" style="13" customWidth="1"/>
    <col min="8452" max="8452" width="23.6640625" style="13" bestFit="1" customWidth="1"/>
    <col min="8453" max="8453" width="11.88671875" style="13" customWidth="1"/>
    <col min="8454" max="8454" width="20.6640625" style="13" customWidth="1"/>
    <col min="8455" max="8455" width="15.6640625" style="13" customWidth="1"/>
    <col min="8456" max="8457" width="16.109375" style="13" bestFit="1" customWidth="1"/>
    <col min="8458" max="8458" width="13.6640625" style="13" customWidth="1"/>
    <col min="8459" max="8459" width="12.6640625" style="13" bestFit="1" customWidth="1"/>
    <col min="8460" max="8460" width="15.5546875" style="13" customWidth="1"/>
    <col min="8461" max="8461" width="16.109375" style="13" bestFit="1" customWidth="1"/>
    <col min="8462" max="8462" width="13.33203125" style="13" bestFit="1" customWidth="1"/>
    <col min="8463" max="8463" width="16.33203125" style="13" bestFit="1" customWidth="1"/>
    <col min="8464" max="8464" width="9.33203125" style="13" bestFit="1" customWidth="1"/>
    <col min="8465" max="8465" width="13" style="13" bestFit="1" customWidth="1"/>
    <col min="8466" max="8466" width="20.109375" style="13" bestFit="1" customWidth="1"/>
    <col min="8467" max="8467" width="50.33203125" style="13" bestFit="1" customWidth="1"/>
    <col min="8468" max="8468" width="16.109375" style="13" bestFit="1" customWidth="1"/>
    <col min="8469" max="8469" width="12.33203125" style="13" customWidth="1"/>
    <col min="8470" max="8470" width="18.88671875" style="13" bestFit="1" customWidth="1"/>
    <col min="8471" max="8471" width="16.6640625" style="13" customWidth="1"/>
    <col min="8472" max="8472" width="19" style="13" bestFit="1" customWidth="1"/>
    <col min="8473" max="8473" width="9.109375" style="13"/>
    <col min="8474" max="8474" width="18.88671875" style="13" bestFit="1" customWidth="1"/>
    <col min="8475" max="8704" width="9.109375" style="13"/>
    <col min="8705" max="8705" width="10.5546875" style="13" bestFit="1" customWidth="1"/>
    <col min="8706" max="8706" width="44.109375" style="13" customWidth="1"/>
    <col min="8707" max="8707" width="14.6640625" style="13" customWidth="1"/>
    <col min="8708" max="8708" width="23.6640625" style="13" bestFit="1" customWidth="1"/>
    <col min="8709" max="8709" width="11.88671875" style="13" customWidth="1"/>
    <col min="8710" max="8710" width="20.6640625" style="13" customWidth="1"/>
    <col min="8711" max="8711" width="15.6640625" style="13" customWidth="1"/>
    <col min="8712" max="8713" width="16.109375" style="13" bestFit="1" customWidth="1"/>
    <col min="8714" max="8714" width="13.6640625" style="13" customWidth="1"/>
    <col min="8715" max="8715" width="12.6640625" style="13" bestFit="1" customWidth="1"/>
    <col min="8716" max="8716" width="15.5546875" style="13" customWidth="1"/>
    <col min="8717" max="8717" width="16.109375" style="13" bestFit="1" customWidth="1"/>
    <col min="8718" max="8718" width="13.33203125" style="13" bestFit="1" customWidth="1"/>
    <col min="8719" max="8719" width="16.33203125" style="13" bestFit="1" customWidth="1"/>
    <col min="8720" max="8720" width="9.33203125" style="13" bestFit="1" customWidth="1"/>
    <col min="8721" max="8721" width="13" style="13" bestFit="1" customWidth="1"/>
    <col min="8722" max="8722" width="20.109375" style="13" bestFit="1" customWidth="1"/>
    <col min="8723" max="8723" width="50.33203125" style="13" bestFit="1" customWidth="1"/>
    <col min="8724" max="8724" width="16.109375" style="13" bestFit="1" customWidth="1"/>
    <col min="8725" max="8725" width="12.33203125" style="13" customWidth="1"/>
    <col min="8726" max="8726" width="18.88671875" style="13" bestFit="1" customWidth="1"/>
    <col min="8727" max="8727" width="16.6640625" style="13" customWidth="1"/>
    <col min="8728" max="8728" width="19" style="13" bestFit="1" customWidth="1"/>
    <col min="8729" max="8729" width="9.109375" style="13"/>
    <col min="8730" max="8730" width="18.88671875" style="13" bestFit="1" customWidth="1"/>
    <col min="8731" max="8960" width="9.109375" style="13"/>
    <col min="8961" max="8961" width="10.5546875" style="13" bestFit="1" customWidth="1"/>
    <col min="8962" max="8962" width="44.109375" style="13" customWidth="1"/>
    <col min="8963" max="8963" width="14.6640625" style="13" customWidth="1"/>
    <col min="8964" max="8964" width="23.6640625" style="13" bestFit="1" customWidth="1"/>
    <col min="8965" max="8965" width="11.88671875" style="13" customWidth="1"/>
    <col min="8966" max="8966" width="20.6640625" style="13" customWidth="1"/>
    <col min="8967" max="8967" width="15.6640625" style="13" customWidth="1"/>
    <col min="8968" max="8969" width="16.109375" style="13" bestFit="1" customWidth="1"/>
    <col min="8970" max="8970" width="13.6640625" style="13" customWidth="1"/>
    <col min="8971" max="8971" width="12.6640625" style="13" bestFit="1" customWidth="1"/>
    <col min="8972" max="8972" width="15.5546875" style="13" customWidth="1"/>
    <col min="8973" max="8973" width="16.109375" style="13" bestFit="1" customWidth="1"/>
    <col min="8974" max="8974" width="13.33203125" style="13" bestFit="1" customWidth="1"/>
    <col min="8975" max="8975" width="16.33203125" style="13" bestFit="1" customWidth="1"/>
    <col min="8976" max="8976" width="9.33203125" style="13" bestFit="1" customWidth="1"/>
    <col min="8977" max="8977" width="13" style="13" bestFit="1" customWidth="1"/>
    <col min="8978" max="8978" width="20.109375" style="13" bestFit="1" customWidth="1"/>
    <col min="8979" max="8979" width="50.33203125" style="13" bestFit="1" customWidth="1"/>
    <col min="8980" max="8980" width="16.109375" style="13" bestFit="1" customWidth="1"/>
    <col min="8981" max="8981" width="12.33203125" style="13" customWidth="1"/>
    <col min="8982" max="8982" width="18.88671875" style="13" bestFit="1" customWidth="1"/>
    <col min="8983" max="8983" width="16.6640625" style="13" customWidth="1"/>
    <col min="8984" max="8984" width="19" style="13" bestFit="1" customWidth="1"/>
    <col min="8985" max="8985" width="9.109375" style="13"/>
    <col min="8986" max="8986" width="18.88671875" style="13" bestFit="1" customWidth="1"/>
    <col min="8987" max="9216" width="9.109375" style="13"/>
    <col min="9217" max="9217" width="10.5546875" style="13" bestFit="1" customWidth="1"/>
    <col min="9218" max="9218" width="44.109375" style="13" customWidth="1"/>
    <col min="9219" max="9219" width="14.6640625" style="13" customWidth="1"/>
    <col min="9220" max="9220" width="23.6640625" style="13" bestFit="1" customWidth="1"/>
    <col min="9221" max="9221" width="11.88671875" style="13" customWidth="1"/>
    <col min="9222" max="9222" width="20.6640625" style="13" customWidth="1"/>
    <col min="9223" max="9223" width="15.6640625" style="13" customWidth="1"/>
    <col min="9224" max="9225" width="16.109375" style="13" bestFit="1" customWidth="1"/>
    <col min="9226" max="9226" width="13.6640625" style="13" customWidth="1"/>
    <col min="9227" max="9227" width="12.6640625" style="13" bestFit="1" customWidth="1"/>
    <col min="9228" max="9228" width="15.5546875" style="13" customWidth="1"/>
    <col min="9229" max="9229" width="16.109375" style="13" bestFit="1" customWidth="1"/>
    <col min="9230" max="9230" width="13.33203125" style="13" bestFit="1" customWidth="1"/>
    <col min="9231" max="9231" width="16.33203125" style="13" bestFit="1" customWidth="1"/>
    <col min="9232" max="9232" width="9.33203125" style="13" bestFit="1" customWidth="1"/>
    <col min="9233" max="9233" width="13" style="13" bestFit="1" customWidth="1"/>
    <col min="9234" max="9234" width="20.109375" style="13" bestFit="1" customWidth="1"/>
    <col min="9235" max="9235" width="50.33203125" style="13" bestFit="1" customWidth="1"/>
    <col min="9236" max="9236" width="16.109375" style="13" bestFit="1" customWidth="1"/>
    <col min="9237" max="9237" width="12.33203125" style="13" customWidth="1"/>
    <col min="9238" max="9238" width="18.88671875" style="13" bestFit="1" customWidth="1"/>
    <col min="9239" max="9239" width="16.6640625" style="13" customWidth="1"/>
    <col min="9240" max="9240" width="19" style="13" bestFit="1" customWidth="1"/>
    <col min="9241" max="9241" width="9.109375" style="13"/>
    <col min="9242" max="9242" width="18.88671875" style="13" bestFit="1" customWidth="1"/>
    <col min="9243" max="9472" width="9.109375" style="13"/>
    <col min="9473" max="9473" width="10.5546875" style="13" bestFit="1" customWidth="1"/>
    <col min="9474" max="9474" width="44.109375" style="13" customWidth="1"/>
    <col min="9475" max="9475" width="14.6640625" style="13" customWidth="1"/>
    <col min="9476" max="9476" width="23.6640625" style="13" bestFit="1" customWidth="1"/>
    <col min="9477" max="9477" width="11.88671875" style="13" customWidth="1"/>
    <col min="9478" max="9478" width="20.6640625" style="13" customWidth="1"/>
    <col min="9479" max="9479" width="15.6640625" style="13" customWidth="1"/>
    <col min="9480" max="9481" width="16.109375" style="13" bestFit="1" customWidth="1"/>
    <col min="9482" max="9482" width="13.6640625" style="13" customWidth="1"/>
    <col min="9483" max="9483" width="12.6640625" style="13" bestFit="1" customWidth="1"/>
    <col min="9484" max="9484" width="15.5546875" style="13" customWidth="1"/>
    <col min="9485" max="9485" width="16.109375" style="13" bestFit="1" customWidth="1"/>
    <col min="9486" max="9486" width="13.33203125" style="13" bestFit="1" customWidth="1"/>
    <col min="9487" max="9487" width="16.33203125" style="13" bestFit="1" customWidth="1"/>
    <col min="9488" max="9488" width="9.33203125" style="13" bestFit="1" customWidth="1"/>
    <col min="9489" max="9489" width="13" style="13" bestFit="1" customWidth="1"/>
    <col min="9490" max="9490" width="20.109375" style="13" bestFit="1" customWidth="1"/>
    <col min="9491" max="9491" width="50.33203125" style="13" bestFit="1" customWidth="1"/>
    <col min="9492" max="9492" width="16.109375" style="13" bestFit="1" customWidth="1"/>
    <col min="9493" max="9493" width="12.33203125" style="13" customWidth="1"/>
    <col min="9494" max="9494" width="18.88671875" style="13" bestFit="1" customWidth="1"/>
    <col min="9495" max="9495" width="16.6640625" style="13" customWidth="1"/>
    <col min="9496" max="9496" width="19" style="13" bestFit="1" customWidth="1"/>
    <col min="9497" max="9497" width="9.109375" style="13"/>
    <col min="9498" max="9498" width="18.88671875" style="13" bestFit="1" customWidth="1"/>
    <col min="9499" max="9728" width="9.109375" style="13"/>
    <col min="9729" max="9729" width="10.5546875" style="13" bestFit="1" customWidth="1"/>
    <col min="9730" max="9730" width="44.109375" style="13" customWidth="1"/>
    <col min="9731" max="9731" width="14.6640625" style="13" customWidth="1"/>
    <col min="9732" max="9732" width="23.6640625" style="13" bestFit="1" customWidth="1"/>
    <col min="9733" max="9733" width="11.88671875" style="13" customWidth="1"/>
    <col min="9734" max="9734" width="20.6640625" style="13" customWidth="1"/>
    <col min="9735" max="9735" width="15.6640625" style="13" customWidth="1"/>
    <col min="9736" max="9737" width="16.109375" style="13" bestFit="1" customWidth="1"/>
    <col min="9738" max="9738" width="13.6640625" style="13" customWidth="1"/>
    <col min="9739" max="9739" width="12.6640625" style="13" bestFit="1" customWidth="1"/>
    <col min="9740" max="9740" width="15.5546875" style="13" customWidth="1"/>
    <col min="9741" max="9741" width="16.109375" style="13" bestFit="1" customWidth="1"/>
    <col min="9742" max="9742" width="13.33203125" style="13" bestFit="1" customWidth="1"/>
    <col min="9743" max="9743" width="16.33203125" style="13" bestFit="1" customWidth="1"/>
    <col min="9744" max="9744" width="9.33203125" style="13" bestFit="1" customWidth="1"/>
    <col min="9745" max="9745" width="13" style="13" bestFit="1" customWidth="1"/>
    <col min="9746" max="9746" width="20.109375" style="13" bestFit="1" customWidth="1"/>
    <col min="9747" max="9747" width="50.33203125" style="13" bestFit="1" customWidth="1"/>
    <col min="9748" max="9748" width="16.109375" style="13" bestFit="1" customWidth="1"/>
    <col min="9749" max="9749" width="12.33203125" style="13" customWidth="1"/>
    <col min="9750" max="9750" width="18.88671875" style="13" bestFit="1" customWidth="1"/>
    <col min="9751" max="9751" width="16.6640625" style="13" customWidth="1"/>
    <col min="9752" max="9752" width="19" style="13" bestFit="1" customWidth="1"/>
    <col min="9753" max="9753" width="9.109375" style="13"/>
    <col min="9754" max="9754" width="18.88671875" style="13" bestFit="1" customWidth="1"/>
    <col min="9755" max="9984" width="9.109375" style="13"/>
    <col min="9985" max="9985" width="10.5546875" style="13" bestFit="1" customWidth="1"/>
    <col min="9986" max="9986" width="44.109375" style="13" customWidth="1"/>
    <col min="9987" max="9987" width="14.6640625" style="13" customWidth="1"/>
    <col min="9988" max="9988" width="23.6640625" style="13" bestFit="1" customWidth="1"/>
    <col min="9989" max="9989" width="11.88671875" style="13" customWidth="1"/>
    <col min="9990" max="9990" width="20.6640625" style="13" customWidth="1"/>
    <col min="9991" max="9991" width="15.6640625" style="13" customWidth="1"/>
    <col min="9992" max="9993" width="16.109375" style="13" bestFit="1" customWidth="1"/>
    <col min="9994" max="9994" width="13.6640625" style="13" customWidth="1"/>
    <col min="9995" max="9995" width="12.6640625" style="13" bestFit="1" customWidth="1"/>
    <col min="9996" max="9996" width="15.5546875" style="13" customWidth="1"/>
    <col min="9997" max="9997" width="16.109375" style="13" bestFit="1" customWidth="1"/>
    <col min="9998" max="9998" width="13.33203125" style="13" bestFit="1" customWidth="1"/>
    <col min="9999" max="9999" width="16.33203125" style="13" bestFit="1" customWidth="1"/>
    <col min="10000" max="10000" width="9.33203125" style="13" bestFit="1" customWidth="1"/>
    <col min="10001" max="10001" width="13" style="13" bestFit="1" customWidth="1"/>
    <col min="10002" max="10002" width="20.109375" style="13" bestFit="1" customWidth="1"/>
    <col min="10003" max="10003" width="50.33203125" style="13" bestFit="1" customWidth="1"/>
    <col min="10004" max="10004" width="16.109375" style="13" bestFit="1" customWidth="1"/>
    <col min="10005" max="10005" width="12.33203125" style="13" customWidth="1"/>
    <col min="10006" max="10006" width="18.88671875" style="13" bestFit="1" customWidth="1"/>
    <col min="10007" max="10007" width="16.6640625" style="13" customWidth="1"/>
    <col min="10008" max="10008" width="19" style="13" bestFit="1" customWidth="1"/>
    <col min="10009" max="10009" width="9.109375" style="13"/>
    <col min="10010" max="10010" width="18.88671875" style="13" bestFit="1" customWidth="1"/>
    <col min="10011" max="10240" width="9.109375" style="13"/>
    <col min="10241" max="10241" width="10.5546875" style="13" bestFit="1" customWidth="1"/>
    <col min="10242" max="10242" width="44.109375" style="13" customWidth="1"/>
    <col min="10243" max="10243" width="14.6640625" style="13" customWidth="1"/>
    <col min="10244" max="10244" width="23.6640625" style="13" bestFit="1" customWidth="1"/>
    <col min="10245" max="10245" width="11.88671875" style="13" customWidth="1"/>
    <col min="10246" max="10246" width="20.6640625" style="13" customWidth="1"/>
    <col min="10247" max="10247" width="15.6640625" style="13" customWidth="1"/>
    <col min="10248" max="10249" width="16.109375" style="13" bestFit="1" customWidth="1"/>
    <col min="10250" max="10250" width="13.6640625" style="13" customWidth="1"/>
    <col min="10251" max="10251" width="12.6640625" style="13" bestFit="1" customWidth="1"/>
    <col min="10252" max="10252" width="15.5546875" style="13" customWidth="1"/>
    <col min="10253" max="10253" width="16.109375" style="13" bestFit="1" customWidth="1"/>
    <col min="10254" max="10254" width="13.33203125" style="13" bestFit="1" customWidth="1"/>
    <col min="10255" max="10255" width="16.33203125" style="13" bestFit="1" customWidth="1"/>
    <col min="10256" max="10256" width="9.33203125" style="13" bestFit="1" customWidth="1"/>
    <col min="10257" max="10257" width="13" style="13" bestFit="1" customWidth="1"/>
    <col min="10258" max="10258" width="20.109375" style="13" bestFit="1" customWidth="1"/>
    <col min="10259" max="10259" width="50.33203125" style="13" bestFit="1" customWidth="1"/>
    <col min="10260" max="10260" width="16.109375" style="13" bestFit="1" customWidth="1"/>
    <col min="10261" max="10261" width="12.33203125" style="13" customWidth="1"/>
    <col min="10262" max="10262" width="18.88671875" style="13" bestFit="1" customWidth="1"/>
    <col min="10263" max="10263" width="16.6640625" style="13" customWidth="1"/>
    <col min="10264" max="10264" width="19" style="13" bestFit="1" customWidth="1"/>
    <col min="10265" max="10265" width="9.109375" style="13"/>
    <col min="10266" max="10266" width="18.88671875" style="13" bestFit="1" customWidth="1"/>
    <col min="10267" max="10496" width="9.109375" style="13"/>
    <col min="10497" max="10497" width="10.5546875" style="13" bestFit="1" customWidth="1"/>
    <col min="10498" max="10498" width="44.109375" style="13" customWidth="1"/>
    <col min="10499" max="10499" width="14.6640625" style="13" customWidth="1"/>
    <col min="10500" max="10500" width="23.6640625" style="13" bestFit="1" customWidth="1"/>
    <col min="10501" max="10501" width="11.88671875" style="13" customWidth="1"/>
    <col min="10502" max="10502" width="20.6640625" style="13" customWidth="1"/>
    <col min="10503" max="10503" width="15.6640625" style="13" customWidth="1"/>
    <col min="10504" max="10505" width="16.109375" style="13" bestFit="1" customWidth="1"/>
    <col min="10506" max="10506" width="13.6640625" style="13" customWidth="1"/>
    <col min="10507" max="10507" width="12.6640625" style="13" bestFit="1" customWidth="1"/>
    <col min="10508" max="10508" width="15.5546875" style="13" customWidth="1"/>
    <col min="10509" max="10509" width="16.109375" style="13" bestFit="1" customWidth="1"/>
    <col min="10510" max="10510" width="13.33203125" style="13" bestFit="1" customWidth="1"/>
    <col min="10511" max="10511" width="16.33203125" style="13" bestFit="1" customWidth="1"/>
    <col min="10512" max="10512" width="9.33203125" style="13" bestFit="1" customWidth="1"/>
    <col min="10513" max="10513" width="13" style="13" bestFit="1" customWidth="1"/>
    <col min="10514" max="10514" width="20.109375" style="13" bestFit="1" customWidth="1"/>
    <col min="10515" max="10515" width="50.33203125" style="13" bestFit="1" customWidth="1"/>
    <col min="10516" max="10516" width="16.109375" style="13" bestFit="1" customWidth="1"/>
    <col min="10517" max="10517" width="12.33203125" style="13" customWidth="1"/>
    <col min="10518" max="10518" width="18.88671875" style="13" bestFit="1" customWidth="1"/>
    <col min="10519" max="10519" width="16.6640625" style="13" customWidth="1"/>
    <col min="10520" max="10520" width="19" style="13" bestFit="1" customWidth="1"/>
    <col min="10521" max="10521" width="9.109375" style="13"/>
    <col min="10522" max="10522" width="18.88671875" style="13" bestFit="1" customWidth="1"/>
    <col min="10523" max="10752" width="9.109375" style="13"/>
    <col min="10753" max="10753" width="10.5546875" style="13" bestFit="1" customWidth="1"/>
    <col min="10754" max="10754" width="44.109375" style="13" customWidth="1"/>
    <col min="10755" max="10755" width="14.6640625" style="13" customWidth="1"/>
    <col min="10756" max="10756" width="23.6640625" style="13" bestFit="1" customWidth="1"/>
    <col min="10757" max="10757" width="11.88671875" style="13" customWidth="1"/>
    <col min="10758" max="10758" width="20.6640625" style="13" customWidth="1"/>
    <col min="10759" max="10759" width="15.6640625" style="13" customWidth="1"/>
    <col min="10760" max="10761" width="16.109375" style="13" bestFit="1" customWidth="1"/>
    <col min="10762" max="10762" width="13.6640625" style="13" customWidth="1"/>
    <col min="10763" max="10763" width="12.6640625" style="13" bestFit="1" customWidth="1"/>
    <col min="10764" max="10764" width="15.5546875" style="13" customWidth="1"/>
    <col min="10765" max="10765" width="16.109375" style="13" bestFit="1" customWidth="1"/>
    <col min="10766" max="10766" width="13.33203125" style="13" bestFit="1" customWidth="1"/>
    <col min="10767" max="10767" width="16.33203125" style="13" bestFit="1" customWidth="1"/>
    <col min="10768" max="10768" width="9.33203125" style="13" bestFit="1" customWidth="1"/>
    <col min="10769" max="10769" width="13" style="13" bestFit="1" customWidth="1"/>
    <col min="10770" max="10770" width="20.109375" style="13" bestFit="1" customWidth="1"/>
    <col min="10771" max="10771" width="50.33203125" style="13" bestFit="1" customWidth="1"/>
    <col min="10772" max="10772" width="16.109375" style="13" bestFit="1" customWidth="1"/>
    <col min="10773" max="10773" width="12.33203125" style="13" customWidth="1"/>
    <col min="10774" max="10774" width="18.88671875" style="13" bestFit="1" customWidth="1"/>
    <col min="10775" max="10775" width="16.6640625" style="13" customWidth="1"/>
    <col min="10776" max="10776" width="19" style="13" bestFit="1" customWidth="1"/>
    <col min="10777" max="10777" width="9.109375" style="13"/>
    <col min="10778" max="10778" width="18.88671875" style="13" bestFit="1" customWidth="1"/>
    <col min="10779" max="11008" width="9.109375" style="13"/>
    <col min="11009" max="11009" width="10.5546875" style="13" bestFit="1" customWidth="1"/>
    <col min="11010" max="11010" width="44.109375" style="13" customWidth="1"/>
    <col min="11011" max="11011" width="14.6640625" style="13" customWidth="1"/>
    <col min="11012" max="11012" width="23.6640625" style="13" bestFit="1" customWidth="1"/>
    <col min="11013" max="11013" width="11.88671875" style="13" customWidth="1"/>
    <col min="11014" max="11014" width="20.6640625" style="13" customWidth="1"/>
    <col min="11015" max="11015" width="15.6640625" style="13" customWidth="1"/>
    <col min="11016" max="11017" width="16.109375" style="13" bestFit="1" customWidth="1"/>
    <col min="11018" max="11018" width="13.6640625" style="13" customWidth="1"/>
    <col min="11019" max="11019" width="12.6640625" style="13" bestFit="1" customWidth="1"/>
    <col min="11020" max="11020" width="15.5546875" style="13" customWidth="1"/>
    <col min="11021" max="11021" width="16.109375" style="13" bestFit="1" customWidth="1"/>
    <col min="11022" max="11022" width="13.33203125" style="13" bestFit="1" customWidth="1"/>
    <col min="11023" max="11023" width="16.33203125" style="13" bestFit="1" customWidth="1"/>
    <col min="11024" max="11024" width="9.33203125" style="13" bestFit="1" customWidth="1"/>
    <col min="11025" max="11025" width="13" style="13" bestFit="1" customWidth="1"/>
    <col min="11026" max="11026" width="20.109375" style="13" bestFit="1" customWidth="1"/>
    <col min="11027" max="11027" width="50.33203125" style="13" bestFit="1" customWidth="1"/>
    <col min="11028" max="11028" width="16.109375" style="13" bestFit="1" customWidth="1"/>
    <col min="11029" max="11029" width="12.33203125" style="13" customWidth="1"/>
    <col min="11030" max="11030" width="18.88671875" style="13" bestFit="1" customWidth="1"/>
    <col min="11031" max="11031" width="16.6640625" style="13" customWidth="1"/>
    <col min="11032" max="11032" width="19" style="13" bestFit="1" customWidth="1"/>
    <col min="11033" max="11033" width="9.109375" style="13"/>
    <col min="11034" max="11034" width="18.88671875" style="13" bestFit="1" customWidth="1"/>
    <col min="11035" max="11264" width="9.109375" style="13"/>
    <col min="11265" max="11265" width="10.5546875" style="13" bestFit="1" customWidth="1"/>
    <col min="11266" max="11266" width="44.109375" style="13" customWidth="1"/>
    <col min="11267" max="11267" width="14.6640625" style="13" customWidth="1"/>
    <col min="11268" max="11268" width="23.6640625" style="13" bestFit="1" customWidth="1"/>
    <col min="11269" max="11269" width="11.88671875" style="13" customWidth="1"/>
    <col min="11270" max="11270" width="20.6640625" style="13" customWidth="1"/>
    <col min="11271" max="11271" width="15.6640625" style="13" customWidth="1"/>
    <col min="11272" max="11273" width="16.109375" style="13" bestFit="1" customWidth="1"/>
    <col min="11274" max="11274" width="13.6640625" style="13" customWidth="1"/>
    <col min="11275" max="11275" width="12.6640625" style="13" bestFit="1" customWidth="1"/>
    <col min="11276" max="11276" width="15.5546875" style="13" customWidth="1"/>
    <col min="11277" max="11277" width="16.109375" style="13" bestFit="1" customWidth="1"/>
    <col min="11278" max="11278" width="13.33203125" style="13" bestFit="1" customWidth="1"/>
    <col min="11279" max="11279" width="16.33203125" style="13" bestFit="1" customWidth="1"/>
    <col min="11280" max="11280" width="9.33203125" style="13" bestFit="1" customWidth="1"/>
    <col min="11281" max="11281" width="13" style="13" bestFit="1" customWidth="1"/>
    <col min="11282" max="11282" width="20.109375" style="13" bestFit="1" customWidth="1"/>
    <col min="11283" max="11283" width="50.33203125" style="13" bestFit="1" customWidth="1"/>
    <col min="11284" max="11284" width="16.109375" style="13" bestFit="1" customWidth="1"/>
    <col min="11285" max="11285" width="12.33203125" style="13" customWidth="1"/>
    <col min="11286" max="11286" width="18.88671875" style="13" bestFit="1" customWidth="1"/>
    <col min="11287" max="11287" width="16.6640625" style="13" customWidth="1"/>
    <col min="11288" max="11288" width="19" style="13" bestFit="1" customWidth="1"/>
    <col min="11289" max="11289" width="9.109375" style="13"/>
    <col min="11290" max="11290" width="18.88671875" style="13" bestFit="1" customWidth="1"/>
    <col min="11291" max="11520" width="9.109375" style="13"/>
    <col min="11521" max="11521" width="10.5546875" style="13" bestFit="1" customWidth="1"/>
    <col min="11522" max="11522" width="44.109375" style="13" customWidth="1"/>
    <col min="11523" max="11523" width="14.6640625" style="13" customWidth="1"/>
    <col min="11524" max="11524" width="23.6640625" style="13" bestFit="1" customWidth="1"/>
    <col min="11525" max="11525" width="11.88671875" style="13" customWidth="1"/>
    <col min="11526" max="11526" width="20.6640625" style="13" customWidth="1"/>
    <col min="11527" max="11527" width="15.6640625" style="13" customWidth="1"/>
    <col min="11528" max="11529" width="16.109375" style="13" bestFit="1" customWidth="1"/>
    <col min="11530" max="11530" width="13.6640625" style="13" customWidth="1"/>
    <col min="11531" max="11531" width="12.6640625" style="13" bestFit="1" customWidth="1"/>
    <col min="11532" max="11532" width="15.5546875" style="13" customWidth="1"/>
    <col min="11533" max="11533" width="16.109375" style="13" bestFit="1" customWidth="1"/>
    <col min="11534" max="11534" width="13.33203125" style="13" bestFit="1" customWidth="1"/>
    <col min="11535" max="11535" width="16.33203125" style="13" bestFit="1" customWidth="1"/>
    <col min="11536" max="11536" width="9.33203125" style="13" bestFit="1" customWidth="1"/>
    <col min="11537" max="11537" width="13" style="13" bestFit="1" customWidth="1"/>
    <col min="11538" max="11538" width="20.109375" style="13" bestFit="1" customWidth="1"/>
    <col min="11539" max="11539" width="50.33203125" style="13" bestFit="1" customWidth="1"/>
    <col min="11540" max="11540" width="16.109375" style="13" bestFit="1" customWidth="1"/>
    <col min="11541" max="11541" width="12.33203125" style="13" customWidth="1"/>
    <col min="11542" max="11542" width="18.88671875" style="13" bestFit="1" customWidth="1"/>
    <col min="11543" max="11543" width="16.6640625" style="13" customWidth="1"/>
    <col min="11544" max="11544" width="19" style="13" bestFit="1" customWidth="1"/>
    <col min="11545" max="11545" width="9.109375" style="13"/>
    <col min="11546" max="11546" width="18.88671875" style="13" bestFit="1" customWidth="1"/>
    <col min="11547" max="11776" width="9.109375" style="13"/>
    <col min="11777" max="11777" width="10.5546875" style="13" bestFit="1" customWidth="1"/>
    <col min="11778" max="11778" width="44.109375" style="13" customWidth="1"/>
    <col min="11779" max="11779" width="14.6640625" style="13" customWidth="1"/>
    <col min="11780" max="11780" width="23.6640625" style="13" bestFit="1" customWidth="1"/>
    <col min="11781" max="11781" width="11.88671875" style="13" customWidth="1"/>
    <col min="11782" max="11782" width="20.6640625" style="13" customWidth="1"/>
    <col min="11783" max="11783" width="15.6640625" style="13" customWidth="1"/>
    <col min="11784" max="11785" width="16.109375" style="13" bestFit="1" customWidth="1"/>
    <col min="11786" max="11786" width="13.6640625" style="13" customWidth="1"/>
    <col min="11787" max="11787" width="12.6640625" style="13" bestFit="1" customWidth="1"/>
    <col min="11788" max="11788" width="15.5546875" style="13" customWidth="1"/>
    <col min="11789" max="11789" width="16.109375" style="13" bestFit="1" customWidth="1"/>
    <col min="11790" max="11790" width="13.33203125" style="13" bestFit="1" customWidth="1"/>
    <col min="11791" max="11791" width="16.33203125" style="13" bestFit="1" customWidth="1"/>
    <col min="11792" max="11792" width="9.33203125" style="13" bestFit="1" customWidth="1"/>
    <col min="11793" max="11793" width="13" style="13" bestFit="1" customWidth="1"/>
    <col min="11794" max="11794" width="20.109375" style="13" bestFit="1" customWidth="1"/>
    <col min="11795" max="11795" width="50.33203125" style="13" bestFit="1" customWidth="1"/>
    <col min="11796" max="11796" width="16.109375" style="13" bestFit="1" customWidth="1"/>
    <col min="11797" max="11797" width="12.33203125" style="13" customWidth="1"/>
    <col min="11798" max="11798" width="18.88671875" style="13" bestFit="1" customWidth="1"/>
    <col min="11799" max="11799" width="16.6640625" style="13" customWidth="1"/>
    <col min="11800" max="11800" width="19" style="13" bestFit="1" customWidth="1"/>
    <col min="11801" max="11801" width="9.109375" style="13"/>
    <col min="11802" max="11802" width="18.88671875" style="13" bestFit="1" customWidth="1"/>
    <col min="11803" max="12032" width="9.109375" style="13"/>
    <col min="12033" max="12033" width="10.5546875" style="13" bestFit="1" customWidth="1"/>
    <col min="12034" max="12034" width="44.109375" style="13" customWidth="1"/>
    <col min="12035" max="12035" width="14.6640625" style="13" customWidth="1"/>
    <col min="12036" max="12036" width="23.6640625" style="13" bestFit="1" customWidth="1"/>
    <col min="12037" max="12037" width="11.88671875" style="13" customWidth="1"/>
    <col min="12038" max="12038" width="20.6640625" style="13" customWidth="1"/>
    <col min="12039" max="12039" width="15.6640625" style="13" customWidth="1"/>
    <col min="12040" max="12041" width="16.109375" style="13" bestFit="1" customWidth="1"/>
    <col min="12042" max="12042" width="13.6640625" style="13" customWidth="1"/>
    <col min="12043" max="12043" width="12.6640625" style="13" bestFit="1" customWidth="1"/>
    <col min="12044" max="12044" width="15.5546875" style="13" customWidth="1"/>
    <col min="12045" max="12045" width="16.109375" style="13" bestFit="1" customWidth="1"/>
    <col min="12046" max="12046" width="13.33203125" style="13" bestFit="1" customWidth="1"/>
    <col min="12047" max="12047" width="16.33203125" style="13" bestFit="1" customWidth="1"/>
    <col min="12048" max="12048" width="9.33203125" style="13" bestFit="1" customWidth="1"/>
    <col min="12049" max="12049" width="13" style="13" bestFit="1" customWidth="1"/>
    <col min="12050" max="12050" width="20.109375" style="13" bestFit="1" customWidth="1"/>
    <col min="12051" max="12051" width="50.33203125" style="13" bestFit="1" customWidth="1"/>
    <col min="12052" max="12052" width="16.109375" style="13" bestFit="1" customWidth="1"/>
    <col min="12053" max="12053" width="12.33203125" style="13" customWidth="1"/>
    <col min="12054" max="12054" width="18.88671875" style="13" bestFit="1" customWidth="1"/>
    <col min="12055" max="12055" width="16.6640625" style="13" customWidth="1"/>
    <col min="12056" max="12056" width="19" style="13" bestFit="1" customWidth="1"/>
    <col min="12057" max="12057" width="9.109375" style="13"/>
    <col min="12058" max="12058" width="18.88671875" style="13" bestFit="1" customWidth="1"/>
    <col min="12059" max="12288" width="9.109375" style="13"/>
    <col min="12289" max="12289" width="10.5546875" style="13" bestFit="1" customWidth="1"/>
    <col min="12290" max="12290" width="44.109375" style="13" customWidth="1"/>
    <col min="12291" max="12291" width="14.6640625" style="13" customWidth="1"/>
    <col min="12292" max="12292" width="23.6640625" style="13" bestFit="1" customWidth="1"/>
    <col min="12293" max="12293" width="11.88671875" style="13" customWidth="1"/>
    <col min="12294" max="12294" width="20.6640625" style="13" customWidth="1"/>
    <col min="12295" max="12295" width="15.6640625" style="13" customWidth="1"/>
    <col min="12296" max="12297" width="16.109375" style="13" bestFit="1" customWidth="1"/>
    <col min="12298" max="12298" width="13.6640625" style="13" customWidth="1"/>
    <col min="12299" max="12299" width="12.6640625" style="13" bestFit="1" customWidth="1"/>
    <col min="12300" max="12300" width="15.5546875" style="13" customWidth="1"/>
    <col min="12301" max="12301" width="16.109375" style="13" bestFit="1" customWidth="1"/>
    <col min="12302" max="12302" width="13.33203125" style="13" bestFit="1" customWidth="1"/>
    <col min="12303" max="12303" width="16.33203125" style="13" bestFit="1" customWidth="1"/>
    <col min="12304" max="12304" width="9.33203125" style="13" bestFit="1" customWidth="1"/>
    <col min="12305" max="12305" width="13" style="13" bestFit="1" customWidth="1"/>
    <col min="12306" max="12306" width="20.109375" style="13" bestFit="1" customWidth="1"/>
    <col min="12307" max="12307" width="50.33203125" style="13" bestFit="1" customWidth="1"/>
    <col min="12308" max="12308" width="16.109375" style="13" bestFit="1" customWidth="1"/>
    <col min="12309" max="12309" width="12.33203125" style="13" customWidth="1"/>
    <col min="12310" max="12310" width="18.88671875" style="13" bestFit="1" customWidth="1"/>
    <col min="12311" max="12311" width="16.6640625" style="13" customWidth="1"/>
    <col min="12312" max="12312" width="19" style="13" bestFit="1" customWidth="1"/>
    <col min="12313" max="12313" width="9.109375" style="13"/>
    <col min="12314" max="12314" width="18.88671875" style="13" bestFit="1" customWidth="1"/>
    <col min="12315" max="12544" width="9.109375" style="13"/>
    <col min="12545" max="12545" width="10.5546875" style="13" bestFit="1" customWidth="1"/>
    <col min="12546" max="12546" width="44.109375" style="13" customWidth="1"/>
    <col min="12547" max="12547" width="14.6640625" style="13" customWidth="1"/>
    <col min="12548" max="12548" width="23.6640625" style="13" bestFit="1" customWidth="1"/>
    <col min="12549" max="12549" width="11.88671875" style="13" customWidth="1"/>
    <col min="12550" max="12550" width="20.6640625" style="13" customWidth="1"/>
    <col min="12551" max="12551" width="15.6640625" style="13" customWidth="1"/>
    <col min="12552" max="12553" width="16.109375" style="13" bestFit="1" customWidth="1"/>
    <col min="12554" max="12554" width="13.6640625" style="13" customWidth="1"/>
    <col min="12555" max="12555" width="12.6640625" style="13" bestFit="1" customWidth="1"/>
    <col min="12556" max="12556" width="15.5546875" style="13" customWidth="1"/>
    <col min="12557" max="12557" width="16.109375" style="13" bestFit="1" customWidth="1"/>
    <col min="12558" max="12558" width="13.33203125" style="13" bestFit="1" customWidth="1"/>
    <col min="12559" max="12559" width="16.33203125" style="13" bestFit="1" customWidth="1"/>
    <col min="12560" max="12560" width="9.33203125" style="13" bestFit="1" customWidth="1"/>
    <col min="12561" max="12561" width="13" style="13" bestFit="1" customWidth="1"/>
    <col min="12562" max="12562" width="20.109375" style="13" bestFit="1" customWidth="1"/>
    <col min="12563" max="12563" width="50.33203125" style="13" bestFit="1" customWidth="1"/>
    <col min="12564" max="12564" width="16.109375" style="13" bestFit="1" customWidth="1"/>
    <col min="12565" max="12565" width="12.33203125" style="13" customWidth="1"/>
    <col min="12566" max="12566" width="18.88671875" style="13" bestFit="1" customWidth="1"/>
    <col min="12567" max="12567" width="16.6640625" style="13" customWidth="1"/>
    <col min="12568" max="12568" width="19" style="13" bestFit="1" customWidth="1"/>
    <col min="12569" max="12569" width="9.109375" style="13"/>
    <col min="12570" max="12570" width="18.88671875" style="13" bestFit="1" customWidth="1"/>
    <col min="12571" max="12800" width="9.109375" style="13"/>
    <col min="12801" max="12801" width="10.5546875" style="13" bestFit="1" customWidth="1"/>
    <col min="12802" max="12802" width="44.109375" style="13" customWidth="1"/>
    <col min="12803" max="12803" width="14.6640625" style="13" customWidth="1"/>
    <col min="12804" max="12804" width="23.6640625" style="13" bestFit="1" customWidth="1"/>
    <col min="12805" max="12805" width="11.88671875" style="13" customWidth="1"/>
    <col min="12806" max="12806" width="20.6640625" style="13" customWidth="1"/>
    <col min="12807" max="12807" width="15.6640625" style="13" customWidth="1"/>
    <col min="12808" max="12809" width="16.109375" style="13" bestFit="1" customWidth="1"/>
    <col min="12810" max="12810" width="13.6640625" style="13" customWidth="1"/>
    <col min="12811" max="12811" width="12.6640625" style="13" bestFit="1" customWidth="1"/>
    <col min="12812" max="12812" width="15.5546875" style="13" customWidth="1"/>
    <col min="12813" max="12813" width="16.109375" style="13" bestFit="1" customWidth="1"/>
    <col min="12814" max="12814" width="13.33203125" style="13" bestFit="1" customWidth="1"/>
    <col min="12815" max="12815" width="16.33203125" style="13" bestFit="1" customWidth="1"/>
    <col min="12816" max="12816" width="9.33203125" style="13" bestFit="1" customWidth="1"/>
    <col min="12817" max="12817" width="13" style="13" bestFit="1" customWidth="1"/>
    <col min="12818" max="12818" width="20.109375" style="13" bestFit="1" customWidth="1"/>
    <col min="12819" max="12819" width="50.33203125" style="13" bestFit="1" customWidth="1"/>
    <col min="12820" max="12820" width="16.109375" style="13" bestFit="1" customWidth="1"/>
    <col min="12821" max="12821" width="12.33203125" style="13" customWidth="1"/>
    <col min="12822" max="12822" width="18.88671875" style="13" bestFit="1" customWidth="1"/>
    <col min="12823" max="12823" width="16.6640625" style="13" customWidth="1"/>
    <col min="12824" max="12824" width="19" style="13" bestFit="1" customWidth="1"/>
    <col min="12825" max="12825" width="9.109375" style="13"/>
    <col min="12826" max="12826" width="18.88671875" style="13" bestFit="1" customWidth="1"/>
    <col min="12827" max="13056" width="9.109375" style="13"/>
    <col min="13057" max="13057" width="10.5546875" style="13" bestFit="1" customWidth="1"/>
    <col min="13058" max="13058" width="44.109375" style="13" customWidth="1"/>
    <col min="13059" max="13059" width="14.6640625" style="13" customWidth="1"/>
    <col min="13060" max="13060" width="23.6640625" style="13" bestFit="1" customWidth="1"/>
    <col min="13061" max="13061" width="11.88671875" style="13" customWidth="1"/>
    <col min="13062" max="13062" width="20.6640625" style="13" customWidth="1"/>
    <col min="13063" max="13063" width="15.6640625" style="13" customWidth="1"/>
    <col min="13064" max="13065" width="16.109375" style="13" bestFit="1" customWidth="1"/>
    <col min="13066" max="13066" width="13.6640625" style="13" customWidth="1"/>
    <col min="13067" max="13067" width="12.6640625" style="13" bestFit="1" customWidth="1"/>
    <col min="13068" max="13068" width="15.5546875" style="13" customWidth="1"/>
    <col min="13069" max="13069" width="16.109375" style="13" bestFit="1" customWidth="1"/>
    <col min="13070" max="13070" width="13.33203125" style="13" bestFit="1" customWidth="1"/>
    <col min="13071" max="13071" width="16.33203125" style="13" bestFit="1" customWidth="1"/>
    <col min="13072" max="13072" width="9.33203125" style="13" bestFit="1" customWidth="1"/>
    <col min="13073" max="13073" width="13" style="13" bestFit="1" customWidth="1"/>
    <col min="13074" max="13074" width="20.109375" style="13" bestFit="1" customWidth="1"/>
    <col min="13075" max="13075" width="50.33203125" style="13" bestFit="1" customWidth="1"/>
    <col min="13076" max="13076" width="16.109375" style="13" bestFit="1" customWidth="1"/>
    <col min="13077" max="13077" width="12.33203125" style="13" customWidth="1"/>
    <col min="13078" max="13078" width="18.88671875" style="13" bestFit="1" customWidth="1"/>
    <col min="13079" max="13079" width="16.6640625" style="13" customWidth="1"/>
    <col min="13080" max="13080" width="19" style="13" bestFit="1" customWidth="1"/>
    <col min="13081" max="13081" width="9.109375" style="13"/>
    <col min="13082" max="13082" width="18.88671875" style="13" bestFit="1" customWidth="1"/>
    <col min="13083" max="13312" width="9.109375" style="13"/>
    <col min="13313" max="13313" width="10.5546875" style="13" bestFit="1" customWidth="1"/>
    <col min="13314" max="13314" width="44.109375" style="13" customWidth="1"/>
    <col min="13315" max="13315" width="14.6640625" style="13" customWidth="1"/>
    <col min="13316" max="13316" width="23.6640625" style="13" bestFit="1" customWidth="1"/>
    <col min="13317" max="13317" width="11.88671875" style="13" customWidth="1"/>
    <col min="13318" max="13318" width="20.6640625" style="13" customWidth="1"/>
    <col min="13319" max="13319" width="15.6640625" style="13" customWidth="1"/>
    <col min="13320" max="13321" width="16.109375" style="13" bestFit="1" customWidth="1"/>
    <col min="13322" max="13322" width="13.6640625" style="13" customWidth="1"/>
    <col min="13323" max="13323" width="12.6640625" style="13" bestFit="1" customWidth="1"/>
    <col min="13324" max="13324" width="15.5546875" style="13" customWidth="1"/>
    <col min="13325" max="13325" width="16.109375" style="13" bestFit="1" customWidth="1"/>
    <col min="13326" max="13326" width="13.33203125" style="13" bestFit="1" customWidth="1"/>
    <col min="13327" max="13327" width="16.33203125" style="13" bestFit="1" customWidth="1"/>
    <col min="13328" max="13328" width="9.33203125" style="13" bestFit="1" customWidth="1"/>
    <col min="13329" max="13329" width="13" style="13" bestFit="1" customWidth="1"/>
    <col min="13330" max="13330" width="20.109375" style="13" bestFit="1" customWidth="1"/>
    <col min="13331" max="13331" width="50.33203125" style="13" bestFit="1" customWidth="1"/>
    <col min="13332" max="13332" width="16.109375" style="13" bestFit="1" customWidth="1"/>
    <col min="13333" max="13333" width="12.33203125" style="13" customWidth="1"/>
    <col min="13334" max="13334" width="18.88671875" style="13" bestFit="1" customWidth="1"/>
    <col min="13335" max="13335" width="16.6640625" style="13" customWidth="1"/>
    <col min="13336" max="13336" width="19" style="13" bestFit="1" customWidth="1"/>
    <col min="13337" max="13337" width="9.109375" style="13"/>
    <col min="13338" max="13338" width="18.88671875" style="13" bestFit="1" customWidth="1"/>
    <col min="13339" max="13568" width="9.109375" style="13"/>
    <col min="13569" max="13569" width="10.5546875" style="13" bestFit="1" customWidth="1"/>
    <col min="13570" max="13570" width="44.109375" style="13" customWidth="1"/>
    <col min="13571" max="13571" width="14.6640625" style="13" customWidth="1"/>
    <col min="13572" max="13572" width="23.6640625" style="13" bestFit="1" customWidth="1"/>
    <col min="13573" max="13573" width="11.88671875" style="13" customWidth="1"/>
    <col min="13574" max="13574" width="20.6640625" style="13" customWidth="1"/>
    <col min="13575" max="13575" width="15.6640625" style="13" customWidth="1"/>
    <col min="13576" max="13577" width="16.109375" style="13" bestFit="1" customWidth="1"/>
    <col min="13578" max="13578" width="13.6640625" style="13" customWidth="1"/>
    <col min="13579" max="13579" width="12.6640625" style="13" bestFit="1" customWidth="1"/>
    <col min="13580" max="13580" width="15.5546875" style="13" customWidth="1"/>
    <col min="13581" max="13581" width="16.109375" style="13" bestFit="1" customWidth="1"/>
    <col min="13582" max="13582" width="13.33203125" style="13" bestFit="1" customWidth="1"/>
    <col min="13583" max="13583" width="16.33203125" style="13" bestFit="1" customWidth="1"/>
    <col min="13584" max="13584" width="9.33203125" style="13" bestFit="1" customWidth="1"/>
    <col min="13585" max="13585" width="13" style="13" bestFit="1" customWidth="1"/>
    <col min="13586" max="13586" width="20.109375" style="13" bestFit="1" customWidth="1"/>
    <col min="13587" max="13587" width="50.33203125" style="13" bestFit="1" customWidth="1"/>
    <col min="13588" max="13588" width="16.109375" style="13" bestFit="1" customWidth="1"/>
    <col min="13589" max="13589" width="12.33203125" style="13" customWidth="1"/>
    <col min="13590" max="13590" width="18.88671875" style="13" bestFit="1" customWidth="1"/>
    <col min="13591" max="13591" width="16.6640625" style="13" customWidth="1"/>
    <col min="13592" max="13592" width="19" style="13" bestFit="1" customWidth="1"/>
    <col min="13593" max="13593" width="9.109375" style="13"/>
    <col min="13594" max="13594" width="18.88671875" style="13" bestFit="1" customWidth="1"/>
    <col min="13595" max="13824" width="9.109375" style="13"/>
    <col min="13825" max="13825" width="10.5546875" style="13" bestFit="1" customWidth="1"/>
    <col min="13826" max="13826" width="44.109375" style="13" customWidth="1"/>
    <col min="13827" max="13827" width="14.6640625" style="13" customWidth="1"/>
    <col min="13828" max="13828" width="23.6640625" style="13" bestFit="1" customWidth="1"/>
    <col min="13829" max="13829" width="11.88671875" style="13" customWidth="1"/>
    <col min="13830" max="13830" width="20.6640625" style="13" customWidth="1"/>
    <col min="13831" max="13831" width="15.6640625" style="13" customWidth="1"/>
    <col min="13832" max="13833" width="16.109375" style="13" bestFit="1" customWidth="1"/>
    <col min="13834" max="13834" width="13.6640625" style="13" customWidth="1"/>
    <col min="13835" max="13835" width="12.6640625" style="13" bestFit="1" customWidth="1"/>
    <col min="13836" max="13836" width="15.5546875" style="13" customWidth="1"/>
    <col min="13837" max="13837" width="16.109375" style="13" bestFit="1" customWidth="1"/>
    <col min="13838" max="13838" width="13.33203125" style="13" bestFit="1" customWidth="1"/>
    <col min="13839" max="13839" width="16.33203125" style="13" bestFit="1" customWidth="1"/>
    <col min="13840" max="13840" width="9.33203125" style="13" bestFit="1" customWidth="1"/>
    <col min="13841" max="13841" width="13" style="13" bestFit="1" customWidth="1"/>
    <col min="13842" max="13842" width="20.109375" style="13" bestFit="1" customWidth="1"/>
    <col min="13843" max="13843" width="50.33203125" style="13" bestFit="1" customWidth="1"/>
    <col min="13844" max="13844" width="16.109375" style="13" bestFit="1" customWidth="1"/>
    <col min="13845" max="13845" width="12.33203125" style="13" customWidth="1"/>
    <col min="13846" max="13846" width="18.88671875" style="13" bestFit="1" customWidth="1"/>
    <col min="13847" max="13847" width="16.6640625" style="13" customWidth="1"/>
    <col min="13848" max="13848" width="19" style="13" bestFit="1" customWidth="1"/>
    <col min="13849" max="13849" width="9.109375" style="13"/>
    <col min="13850" max="13850" width="18.88671875" style="13" bestFit="1" customWidth="1"/>
    <col min="13851" max="14080" width="9.109375" style="13"/>
    <col min="14081" max="14081" width="10.5546875" style="13" bestFit="1" customWidth="1"/>
    <col min="14082" max="14082" width="44.109375" style="13" customWidth="1"/>
    <col min="14083" max="14083" width="14.6640625" style="13" customWidth="1"/>
    <col min="14084" max="14084" width="23.6640625" style="13" bestFit="1" customWidth="1"/>
    <col min="14085" max="14085" width="11.88671875" style="13" customWidth="1"/>
    <col min="14086" max="14086" width="20.6640625" style="13" customWidth="1"/>
    <col min="14087" max="14087" width="15.6640625" style="13" customWidth="1"/>
    <col min="14088" max="14089" width="16.109375" style="13" bestFit="1" customWidth="1"/>
    <col min="14090" max="14090" width="13.6640625" style="13" customWidth="1"/>
    <col min="14091" max="14091" width="12.6640625" style="13" bestFit="1" customWidth="1"/>
    <col min="14092" max="14092" width="15.5546875" style="13" customWidth="1"/>
    <col min="14093" max="14093" width="16.109375" style="13" bestFit="1" customWidth="1"/>
    <col min="14094" max="14094" width="13.33203125" style="13" bestFit="1" customWidth="1"/>
    <col min="14095" max="14095" width="16.33203125" style="13" bestFit="1" customWidth="1"/>
    <col min="14096" max="14096" width="9.33203125" style="13" bestFit="1" customWidth="1"/>
    <col min="14097" max="14097" width="13" style="13" bestFit="1" customWidth="1"/>
    <col min="14098" max="14098" width="20.109375" style="13" bestFit="1" customWidth="1"/>
    <col min="14099" max="14099" width="50.33203125" style="13" bestFit="1" customWidth="1"/>
    <col min="14100" max="14100" width="16.109375" style="13" bestFit="1" customWidth="1"/>
    <col min="14101" max="14101" width="12.33203125" style="13" customWidth="1"/>
    <col min="14102" max="14102" width="18.88671875" style="13" bestFit="1" customWidth="1"/>
    <col min="14103" max="14103" width="16.6640625" style="13" customWidth="1"/>
    <col min="14104" max="14104" width="19" style="13" bestFit="1" customWidth="1"/>
    <col min="14105" max="14105" width="9.109375" style="13"/>
    <col min="14106" max="14106" width="18.88671875" style="13" bestFit="1" customWidth="1"/>
    <col min="14107" max="14336" width="9.109375" style="13"/>
    <col min="14337" max="14337" width="10.5546875" style="13" bestFit="1" customWidth="1"/>
    <col min="14338" max="14338" width="44.109375" style="13" customWidth="1"/>
    <col min="14339" max="14339" width="14.6640625" style="13" customWidth="1"/>
    <col min="14340" max="14340" width="23.6640625" style="13" bestFit="1" customWidth="1"/>
    <col min="14341" max="14341" width="11.88671875" style="13" customWidth="1"/>
    <col min="14342" max="14342" width="20.6640625" style="13" customWidth="1"/>
    <col min="14343" max="14343" width="15.6640625" style="13" customWidth="1"/>
    <col min="14344" max="14345" width="16.109375" style="13" bestFit="1" customWidth="1"/>
    <col min="14346" max="14346" width="13.6640625" style="13" customWidth="1"/>
    <col min="14347" max="14347" width="12.6640625" style="13" bestFit="1" customWidth="1"/>
    <col min="14348" max="14348" width="15.5546875" style="13" customWidth="1"/>
    <col min="14349" max="14349" width="16.109375" style="13" bestFit="1" customWidth="1"/>
    <col min="14350" max="14350" width="13.33203125" style="13" bestFit="1" customWidth="1"/>
    <col min="14351" max="14351" width="16.33203125" style="13" bestFit="1" customWidth="1"/>
    <col min="14352" max="14352" width="9.33203125" style="13" bestFit="1" customWidth="1"/>
    <col min="14353" max="14353" width="13" style="13" bestFit="1" customWidth="1"/>
    <col min="14354" max="14354" width="20.109375" style="13" bestFit="1" customWidth="1"/>
    <col min="14355" max="14355" width="50.33203125" style="13" bestFit="1" customWidth="1"/>
    <col min="14356" max="14356" width="16.109375" style="13" bestFit="1" customWidth="1"/>
    <col min="14357" max="14357" width="12.33203125" style="13" customWidth="1"/>
    <col min="14358" max="14358" width="18.88671875" style="13" bestFit="1" customWidth="1"/>
    <col min="14359" max="14359" width="16.6640625" style="13" customWidth="1"/>
    <col min="14360" max="14360" width="19" style="13" bestFit="1" customWidth="1"/>
    <col min="14361" max="14361" width="9.109375" style="13"/>
    <col min="14362" max="14362" width="18.88671875" style="13" bestFit="1" customWidth="1"/>
    <col min="14363" max="14592" width="9.109375" style="13"/>
    <col min="14593" max="14593" width="10.5546875" style="13" bestFit="1" customWidth="1"/>
    <col min="14594" max="14594" width="44.109375" style="13" customWidth="1"/>
    <col min="14595" max="14595" width="14.6640625" style="13" customWidth="1"/>
    <col min="14596" max="14596" width="23.6640625" style="13" bestFit="1" customWidth="1"/>
    <col min="14597" max="14597" width="11.88671875" style="13" customWidth="1"/>
    <col min="14598" max="14598" width="20.6640625" style="13" customWidth="1"/>
    <col min="14599" max="14599" width="15.6640625" style="13" customWidth="1"/>
    <col min="14600" max="14601" width="16.109375" style="13" bestFit="1" customWidth="1"/>
    <col min="14602" max="14602" width="13.6640625" style="13" customWidth="1"/>
    <col min="14603" max="14603" width="12.6640625" style="13" bestFit="1" customWidth="1"/>
    <col min="14604" max="14604" width="15.5546875" style="13" customWidth="1"/>
    <col min="14605" max="14605" width="16.109375" style="13" bestFit="1" customWidth="1"/>
    <col min="14606" max="14606" width="13.33203125" style="13" bestFit="1" customWidth="1"/>
    <col min="14607" max="14607" width="16.33203125" style="13" bestFit="1" customWidth="1"/>
    <col min="14608" max="14608" width="9.33203125" style="13" bestFit="1" customWidth="1"/>
    <col min="14609" max="14609" width="13" style="13" bestFit="1" customWidth="1"/>
    <col min="14610" max="14610" width="20.109375" style="13" bestFit="1" customWidth="1"/>
    <col min="14611" max="14611" width="50.33203125" style="13" bestFit="1" customWidth="1"/>
    <col min="14612" max="14612" width="16.109375" style="13" bestFit="1" customWidth="1"/>
    <col min="14613" max="14613" width="12.33203125" style="13" customWidth="1"/>
    <col min="14614" max="14614" width="18.88671875" style="13" bestFit="1" customWidth="1"/>
    <col min="14615" max="14615" width="16.6640625" style="13" customWidth="1"/>
    <col min="14616" max="14616" width="19" style="13" bestFit="1" customWidth="1"/>
    <col min="14617" max="14617" width="9.109375" style="13"/>
    <col min="14618" max="14618" width="18.88671875" style="13" bestFit="1" customWidth="1"/>
    <col min="14619" max="14848" width="9.109375" style="13"/>
    <col min="14849" max="14849" width="10.5546875" style="13" bestFit="1" customWidth="1"/>
    <col min="14850" max="14850" width="44.109375" style="13" customWidth="1"/>
    <col min="14851" max="14851" width="14.6640625" style="13" customWidth="1"/>
    <col min="14852" max="14852" width="23.6640625" style="13" bestFit="1" customWidth="1"/>
    <col min="14853" max="14853" width="11.88671875" style="13" customWidth="1"/>
    <col min="14854" max="14854" width="20.6640625" style="13" customWidth="1"/>
    <col min="14855" max="14855" width="15.6640625" style="13" customWidth="1"/>
    <col min="14856" max="14857" width="16.109375" style="13" bestFit="1" customWidth="1"/>
    <col min="14858" max="14858" width="13.6640625" style="13" customWidth="1"/>
    <col min="14859" max="14859" width="12.6640625" style="13" bestFit="1" customWidth="1"/>
    <col min="14860" max="14860" width="15.5546875" style="13" customWidth="1"/>
    <col min="14861" max="14861" width="16.109375" style="13" bestFit="1" customWidth="1"/>
    <col min="14862" max="14862" width="13.33203125" style="13" bestFit="1" customWidth="1"/>
    <col min="14863" max="14863" width="16.33203125" style="13" bestFit="1" customWidth="1"/>
    <col min="14864" max="14864" width="9.33203125" style="13" bestFit="1" customWidth="1"/>
    <col min="14865" max="14865" width="13" style="13" bestFit="1" customWidth="1"/>
    <col min="14866" max="14866" width="20.109375" style="13" bestFit="1" customWidth="1"/>
    <col min="14867" max="14867" width="50.33203125" style="13" bestFit="1" customWidth="1"/>
    <col min="14868" max="14868" width="16.109375" style="13" bestFit="1" customWidth="1"/>
    <col min="14869" max="14869" width="12.33203125" style="13" customWidth="1"/>
    <col min="14870" max="14870" width="18.88671875" style="13" bestFit="1" customWidth="1"/>
    <col min="14871" max="14871" width="16.6640625" style="13" customWidth="1"/>
    <col min="14872" max="14872" width="19" style="13" bestFit="1" customWidth="1"/>
    <col min="14873" max="14873" width="9.109375" style="13"/>
    <col min="14874" max="14874" width="18.88671875" style="13" bestFit="1" customWidth="1"/>
    <col min="14875" max="15104" width="9.109375" style="13"/>
    <col min="15105" max="15105" width="10.5546875" style="13" bestFit="1" customWidth="1"/>
    <col min="15106" max="15106" width="44.109375" style="13" customWidth="1"/>
    <col min="15107" max="15107" width="14.6640625" style="13" customWidth="1"/>
    <col min="15108" max="15108" width="23.6640625" style="13" bestFit="1" customWidth="1"/>
    <col min="15109" max="15109" width="11.88671875" style="13" customWidth="1"/>
    <col min="15110" max="15110" width="20.6640625" style="13" customWidth="1"/>
    <col min="15111" max="15111" width="15.6640625" style="13" customWidth="1"/>
    <col min="15112" max="15113" width="16.109375" style="13" bestFit="1" customWidth="1"/>
    <col min="15114" max="15114" width="13.6640625" style="13" customWidth="1"/>
    <col min="15115" max="15115" width="12.6640625" style="13" bestFit="1" customWidth="1"/>
    <col min="15116" max="15116" width="15.5546875" style="13" customWidth="1"/>
    <col min="15117" max="15117" width="16.109375" style="13" bestFit="1" customWidth="1"/>
    <col min="15118" max="15118" width="13.33203125" style="13" bestFit="1" customWidth="1"/>
    <col min="15119" max="15119" width="16.33203125" style="13" bestFit="1" customWidth="1"/>
    <col min="15120" max="15120" width="9.33203125" style="13" bestFit="1" customWidth="1"/>
    <col min="15121" max="15121" width="13" style="13" bestFit="1" customWidth="1"/>
    <col min="15122" max="15122" width="20.109375" style="13" bestFit="1" customWidth="1"/>
    <col min="15123" max="15123" width="50.33203125" style="13" bestFit="1" customWidth="1"/>
    <col min="15124" max="15124" width="16.109375" style="13" bestFit="1" customWidth="1"/>
    <col min="15125" max="15125" width="12.33203125" style="13" customWidth="1"/>
    <col min="15126" max="15126" width="18.88671875" style="13" bestFit="1" customWidth="1"/>
    <col min="15127" max="15127" width="16.6640625" style="13" customWidth="1"/>
    <col min="15128" max="15128" width="19" style="13" bestFit="1" customWidth="1"/>
    <col min="15129" max="15129" width="9.109375" style="13"/>
    <col min="15130" max="15130" width="18.88671875" style="13" bestFit="1" customWidth="1"/>
    <col min="15131" max="15360" width="9.109375" style="13"/>
    <col min="15361" max="15361" width="10.5546875" style="13" bestFit="1" customWidth="1"/>
    <col min="15362" max="15362" width="44.109375" style="13" customWidth="1"/>
    <col min="15363" max="15363" width="14.6640625" style="13" customWidth="1"/>
    <col min="15364" max="15364" width="23.6640625" style="13" bestFit="1" customWidth="1"/>
    <col min="15365" max="15365" width="11.88671875" style="13" customWidth="1"/>
    <col min="15366" max="15366" width="20.6640625" style="13" customWidth="1"/>
    <col min="15367" max="15367" width="15.6640625" style="13" customWidth="1"/>
    <col min="15368" max="15369" width="16.109375" style="13" bestFit="1" customWidth="1"/>
    <col min="15370" max="15370" width="13.6640625" style="13" customWidth="1"/>
    <col min="15371" max="15371" width="12.6640625" style="13" bestFit="1" customWidth="1"/>
    <col min="15372" max="15372" width="15.5546875" style="13" customWidth="1"/>
    <col min="15373" max="15373" width="16.109375" style="13" bestFit="1" customWidth="1"/>
    <col min="15374" max="15374" width="13.33203125" style="13" bestFit="1" customWidth="1"/>
    <col min="15375" max="15375" width="16.33203125" style="13" bestFit="1" customWidth="1"/>
    <col min="15376" max="15376" width="9.33203125" style="13" bestFit="1" customWidth="1"/>
    <col min="15377" max="15377" width="13" style="13" bestFit="1" customWidth="1"/>
    <col min="15378" max="15378" width="20.109375" style="13" bestFit="1" customWidth="1"/>
    <col min="15379" max="15379" width="50.33203125" style="13" bestFit="1" customWidth="1"/>
    <col min="15380" max="15380" width="16.109375" style="13" bestFit="1" customWidth="1"/>
    <col min="15381" max="15381" width="12.33203125" style="13" customWidth="1"/>
    <col min="15382" max="15382" width="18.88671875" style="13" bestFit="1" customWidth="1"/>
    <col min="15383" max="15383" width="16.6640625" style="13" customWidth="1"/>
    <col min="15384" max="15384" width="19" style="13" bestFit="1" customWidth="1"/>
    <col min="15385" max="15385" width="9.109375" style="13"/>
    <col min="15386" max="15386" width="18.88671875" style="13" bestFit="1" customWidth="1"/>
    <col min="15387" max="15616" width="9.109375" style="13"/>
    <col min="15617" max="15617" width="10.5546875" style="13" bestFit="1" customWidth="1"/>
    <col min="15618" max="15618" width="44.109375" style="13" customWidth="1"/>
    <col min="15619" max="15619" width="14.6640625" style="13" customWidth="1"/>
    <col min="15620" max="15620" width="23.6640625" style="13" bestFit="1" customWidth="1"/>
    <col min="15621" max="15621" width="11.88671875" style="13" customWidth="1"/>
    <col min="15622" max="15622" width="20.6640625" style="13" customWidth="1"/>
    <col min="15623" max="15623" width="15.6640625" style="13" customWidth="1"/>
    <col min="15624" max="15625" width="16.109375" style="13" bestFit="1" customWidth="1"/>
    <col min="15626" max="15626" width="13.6640625" style="13" customWidth="1"/>
    <col min="15627" max="15627" width="12.6640625" style="13" bestFit="1" customWidth="1"/>
    <col min="15628" max="15628" width="15.5546875" style="13" customWidth="1"/>
    <col min="15629" max="15629" width="16.109375" style="13" bestFit="1" customWidth="1"/>
    <col min="15630" max="15630" width="13.33203125" style="13" bestFit="1" customWidth="1"/>
    <col min="15631" max="15631" width="16.33203125" style="13" bestFit="1" customWidth="1"/>
    <col min="15632" max="15632" width="9.33203125" style="13" bestFit="1" customWidth="1"/>
    <col min="15633" max="15633" width="13" style="13" bestFit="1" customWidth="1"/>
    <col min="15634" max="15634" width="20.109375" style="13" bestFit="1" customWidth="1"/>
    <col min="15635" max="15635" width="50.33203125" style="13" bestFit="1" customWidth="1"/>
    <col min="15636" max="15636" width="16.109375" style="13" bestFit="1" customWidth="1"/>
    <col min="15637" max="15637" width="12.33203125" style="13" customWidth="1"/>
    <col min="15638" max="15638" width="18.88671875" style="13" bestFit="1" customWidth="1"/>
    <col min="15639" max="15639" width="16.6640625" style="13" customWidth="1"/>
    <col min="15640" max="15640" width="19" style="13" bestFit="1" customWidth="1"/>
    <col min="15641" max="15641" width="9.109375" style="13"/>
    <col min="15642" max="15642" width="18.88671875" style="13" bestFit="1" customWidth="1"/>
    <col min="15643" max="15872" width="9.109375" style="13"/>
    <col min="15873" max="15873" width="10.5546875" style="13" bestFit="1" customWidth="1"/>
    <col min="15874" max="15874" width="44.109375" style="13" customWidth="1"/>
    <col min="15875" max="15875" width="14.6640625" style="13" customWidth="1"/>
    <col min="15876" max="15876" width="23.6640625" style="13" bestFit="1" customWidth="1"/>
    <col min="15877" max="15877" width="11.88671875" style="13" customWidth="1"/>
    <col min="15878" max="15878" width="20.6640625" style="13" customWidth="1"/>
    <col min="15879" max="15879" width="15.6640625" style="13" customWidth="1"/>
    <col min="15880" max="15881" width="16.109375" style="13" bestFit="1" customWidth="1"/>
    <col min="15882" max="15882" width="13.6640625" style="13" customWidth="1"/>
    <col min="15883" max="15883" width="12.6640625" style="13" bestFit="1" customWidth="1"/>
    <col min="15884" max="15884" width="15.5546875" style="13" customWidth="1"/>
    <col min="15885" max="15885" width="16.109375" style="13" bestFit="1" customWidth="1"/>
    <col min="15886" max="15886" width="13.33203125" style="13" bestFit="1" customWidth="1"/>
    <col min="15887" max="15887" width="16.33203125" style="13" bestFit="1" customWidth="1"/>
    <col min="15888" max="15888" width="9.33203125" style="13" bestFit="1" customWidth="1"/>
    <col min="15889" max="15889" width="13" style="13" bestFit="1" customWidth="1"/>
    <col min="15890" max="15890" width="20.109375" style="13" bestFit="1" customWidth="1"/>
    <col min="15891" max="15891" width="50.33203125" style="13" bestFit="1" customWidth="1"/>
    <col min="15892" max="15892" width="16.109375" style="13" bestFit="1" customWidth="1"/>
    <col min="15893" max="15893" width="12.33203125" style="13" customWidth="1"/>
    <col min="15894" max="15894" width="18.88671875" style="13" bestFit="1" customWidth="1"/>
    <col min="15895" max="15895" width="16.6640625" style="13" customWidth="1"/>
    <col min="15896" max="15896" width="19" style="13" bestFit="1" customWidth="1"/>
    <col min="15897" max="15897" width="9.109375" style="13"/>
    <col min="15898" max="15898" width="18.88671875" style="13" bestFit="1" customWidth="1"/>
    <col min="15899" max="16128" width="9.109375" style="13"/>
    <col min="16129" max="16129" width="10.5546875" style="13" bestFit="1" customWidth="1"/>
    <col min="16130" max="16130" width="44.109375" style="13" customWidth="1"/>
    <col min="16131" max="16131" width="14.6640625" style="13" customWidth="1"/>
    <col min="16132" max="16132" width="23.6640625" style="13" bestFit="1" customWidth="1"/>
    <col min="16133" max="16133" width="11.88671875" style="13" customWidth="1"/>
    <col min="16134" max="16134" width="20.6640625" style="13" customWidth="1"/>
    <col min="16135" max="16135" width="15.6640625" style="13" customWidth="1"/>
    <col min="16136" max="16137" width="16.109375" style="13" bestFit="1" customWidth="1"/>
    <col min="16138" max="16138" width="13.6640625" style="13" customWidth="1"/>
    <col min="16139" max="16139" width="12.6640625" style="13" bestFit="1" customWidth="1"/>
    <col min="16140" max="16140" width="15.5546875" style="13" customWidth="1"/>
    <col min="16141" max="16141" width="16.109375" style="13" bestFit="1" customWidth="1"/>
    <col min="16142" max="16142" width="13.33203125" style="13" bestFit="1" customWidth="1"/>
    <col min="16143" max="16143" width="16.33203125" style="13" bestFit="1" customWidth="1"/>
    <col min="16144" max="16144" width="9.33203125" style="13" bestFit="1" customWidth="1"/>
    <col min="16145" max="16145" width="13" style="13" bestFit="1" customWidth="1"/>
    <col min="16146" max="16146" width="20.109375" style="13" bestFit="1" customWidth="1"/>
    <col min="16147" max="16147" width="50.33203125" style="13" bestFit="1" customWidth="1"/>
    <col min="16148" max="16148" width="16.109375" style="13" bestFit="1" customWidth="1"/>
    <col min="16149" max="16149" width="12.33203125" style="13" customWidth="1"/>
    <col min="16150" max="16150" width="18.88671875" style="13" bestFit="1" customWidth="1"/>
    <col min="16151" max="16151" width="16.6640625" style="13" customWidth="1"/>
    <col min="16152" max="16152" width="19" style="13" bestFit="1" customWidth="1"/>
    <col min="16153" max="16153" width="9.109375" style="13"/>
    <col min="16154" max="16154" width="18.88671875" style="13" bestFit="1" customWidth="1"/>
    <col min="16155" max="16384" width="9.109375" style="13"/>
  </cols>
  <sheetData>
    <row r="1" spans="1:26">
      <c r="J1" s="16"/>
      <c r="K1" s="16"/>
      <c r="L1" s="16"/>
    </row>
    <row r="2" spans="1:26" ht="17.399999999999999">
      <c r="A2" s="208" t="s">
        <v>226</v>
      </c>
      <c r="J2" s="207"/>
      <c r="K2" s="16"/>
      <c r="L2" s="16"/>
    </row>
    <row r="3" spans="1:26" ht="14.4" thickBot="1">
      <c r="A3" s="9" t="s">
        <v>132</v>
      </c>
      <c r="H3" s="49"/>
      <c r="J3" s="206"/>
      <c r="K3" s="16"/>
      <c r="L3" s="16"/>
    </row>
    <row r="4" spans="1:26" ht="16.2" thickBot="1">
      <c r="A4" s="92"/>
      <c r="B4" s="90"/>
      <c r="C4" s="90" t="s">
        <v>225</v>
      </c>
      <c r="D4" s="205" t="e">
        <f>L218</f>
        <v>#REF!</v>
      </c>
      <c r="H4" s="49"/>
      <c r="J4" s="194"/>
      <c r="K4" s="204"/>
      <c r="L4" s="16"/>
    </row>
    <row r="5" spans="1:26">
      <c r="A5" s="94"/>
      <c r="B5" s="94"/>
      <c r="C5" s="94"/>
      <c r="D5" s="94"/>
      <c r="E5" s="94"/>
      <c r="F5" s="94"/>
      <c r="H5" s="49"/>
      <c r="J5" s="16"/>
      <c r="K5" s="193"/>
      <c r="L5" s="48"/>
      <c r="M5" s="49"/>
      <c r="N5" s="49"/>
      <c r="O5" s="49"/>
      <c r="P5" s="49"/>
      <c r="Q5" s="49"/>
      <c r="R5" s="49"/>
      <c r="S5" s="49"/>
      <c r="T5" s="203"/>
      <c r="U5" s="203"/>
      <c r="V5" s="203"/>
      <c r="W5" s="203"/>
      <c r="X5" s="203"/>
    </row>
    <row r="6" spans="1:26" ht="14.4">
      <c r="A6" s="94"/>
      <c r="B6" s="202"/>
      <c r="C6" s="201"/>
      <c r="D6" s="200"/>
      <c r="E6" s="201"/>
      <c r="F6" s="200" t="s">
        <v>99</v>
      </c>
      <c r="H6" s="49"/>
      <c r="J6" s="16"/>
      <c r="K6" s="193"/>
      <c r="L6" s="48"/>
      <c r="M6" s="49"/>
      <c r="N6" s="49"/>
      <c r="O6" s="49"/>
      <c r="P6" s="49"/>
      <c r="Q6" s="49"/>
      <c r="R6" s="49"/>
      <c r="S6" s="49"/>
      <c r="T6" s="199"/>
      <c r="X6" s="198"/>
      <c r="Z6" s="192"/>
    </row>
    <row r="7" spans="1:26" ht="15.6">
      <c r="A7" s="100"/>
      <c r="B7" s="197"/>
      <c r="C7" s="197"/>
      <c r="D7" s="9"/>
      <c r="E7" s="196" t="s">
        <v>224</v>
      </c>
      <c r="F7" s="195" t="e">
        <f>L214</f>
        <v>#REF!</v>
      </c>
      <c r="H7" s="49"/>
      <c r="J7" s="194"/>
      <c r="K7" s="193"/>
      <c r="L7" s="48"/>
      <c r="M7" s="49"/>
      <c r="N7" s="49"/>
      <c r="O7" s="49"/>
      <c r="P7" s="49"/>
      <c r="Q7" s="49"/>
      <c r="R7" s="49"/>
      <c r="S7" s="49"/>
      <c r="T7" s="86"/>
      <c r="Z7" s="192"/>
    </row>
    <row r="8" spans="1:26" ht="14.4">
      <c r="A8" s="93"/>
      <c r="B8" s="93"/>
      <c r="H8" s="49"/>
      <c r="J8" s="16"/>
      <c r="K8" s="48"/>
      <c r="L8" s="48"/>
      <c r="M8" s="49"/>
      <c r="N8" s="49"/>
      <c r="O8" s="49"/>
      <c r="P8" s="49"/>
      <c r="Q8" s="49"/>
      <c r="R8" s="49"/>
      <c r="S8" s="49"/>
      <c r="Z8" s="192"/>
    </row>
    <row r="9" spans="1:26" ht="14.4">
      <c r="H9" s="49"/>
      <c r="J9" s="16"/>
      <c r="K9" s="48"/>
      <c r="L9" s="48"/>
      <c r="M9" s="49"/>
      <c r="N9" s="49"/>
      <c r="O9" s="49"/>
      <c r="P9" s="49"/>
      <c r="Q9" s="49"/>
      <c r="R9" s="49"/>
      <c r="S9" s="49"/>
      <c r="Z9" s="192"/>
    </row>
    <row r="10" spans="1:26" ht="14.4">
      <c r="H10" s="49"/>
      <c r="J10" s="16"/>
      <c r="K10" s="48"/>
      <c r="L10" s="48"/>
      <c r="M10" s="49"/>
      <c r="N10" s="49"/>
      <c r="O10" s="49"/>
      <c r="P10" s="49"/>
      <c r="Q10" s="49"/>
      <c r="R10" s="49"/>
      <c r="S10" s="49"/>
      <c r="T10" s="190"/>
      <c r="X10" s="190"/>
      <c r="Z10" s="192"/>
    </row>
    <row r="11" spans="1:26">
      <c r="H11" s="49"/>
      <c r="J11" s="16"/>
      <c r="K11" s="48"/>
      <c r="L11" s="48"/>
      <c r="M11" s="49"/>
      <c r="N11" s="49"/>
      <c r="O11" s="49"/>
      <c r="P11" s="49"/>
      <c r="Q11" s="49"/>
      <c r="R11" s="49"/>
      <c r="S11" s="49"/>
      <c r="Z11" s="49"/>
    </row>
    <row r="12" spans="1:26">
      <c r="B12" s="150" t="s">
        <v>223</v>
      </c>
      <c r="H12" s="49"/>
      <c r="K12" s="49"/>
      <c r="L12" s="49"/>
      <c r="M12" s="49"/>
      <c r="N12" s="49"/>
      <c r="O12" s="49"/>
      <c r="P12" s="49"/>
      <c r="Q12" s="49"/>
      <c r="R12" s="49"/>
      <c r="S12" s="49"/>
      <c r="Z12" s="49"/>
    </row>
    <row r="13" spans="1:26">
      <c r="B13" s="124"/>
      <c r="H13" s="49"/>
      <c r="K13" s="49"/>
      <c r="L13" s="49"/>
      <c r="M13" s="49"/>
      <c r="N13" s="49"/>
      <c r="O13" s="49"/>
      <c r="P13" s="49"/>
      <c r="Q13" s="49"/>
      <c r="R13" s="49"/>
      <c r="S13" s="49"/>
      <c r="Z13" s="49"/>
    </row>
    <row r="14" spans="1:26">
      <c r="B14" s="129" t="s">
        <v>222</v>
      </c>
      <c r="C14" s="94"/>
      <c r="D14" s="94"/>
      <c r="E14" s="94"/>
      <c r="H14" s="49"/>
      <c r="K14" s="49"/>
      <c r="L14" s="49"/>
      <c r="M14" s="49"/>
      <c r="N14" s="49"/>
      <c r="O14" s="49"/>
      <c r="P14" s="49"/>
      <c r="Q14" s="49"/>
      <c r="R14" s="49"/>
      <c r="S14" s="49"/>
      <c r="Z14" s="49"/>
    </row>
    <row r="15" spans="1:26" ht="14.4">
      <c r="B15" s="139" t="s">
        <v>172</v>
      </c>
      <c r="C15" s="139"/>
      <c r="D15" s="191">
        <v>14101.476000000001</v>
      </c>
      <c r="E15" s="141" t="s">
        <v>171</v>
      </c>
      <c r="F15" s="49"/>
      <c r="H15" s="49"/>
      <c r="K15" s="49"/>
      <c r="L15" s="49"/>
      <c r="M15" s="49"/>
      <c r="N15" s="49"/>
      <c r="O15" s="49"/>
      <c r="P15" s="49"/>
      <c r="Q15" s="49"/>
      <c r="R15" s="49"/>
      <c r="S15" s="49"/>
      <c r="T15" s="190"/>
      <c r="V15" s="190"/>
      <c r="X15" s="190"/>
      <c r="Z15" s="190"/>
    </row>
    <row r="16" spans="1:26" ht="14.4">
      <c r="B16" s="139" t="s">
        <v>170</v>
      </c>
      <c r="C16" s="139"/>
      <c r="D16" s="191">
        <v>146</v>
      </c>
      <c r="E16" s="141" t="s">
        <v>169</v>
      </c>
      <c r="F16" s="49"/>
      <c r="H16" s="49"/>
      <c r="K16" s="49"/>
      <c r="L16" s="49"/>
      <c r="M16" s="49"/>
      <c r="N16" s="49"/>
      <c r="O16" s="49"/>
      <c r="P16" s="49"/>
      <c r="Q16" s="49"/>
      <c r="R16" s="49"/>
      <c r="S16" s="49"/>
      <c r="T16" s="190"/>
      <c r="V16" s="190"/>
      <c r="X16" s="190"/>
      <c r="Z16" s="190"/>
    </row>
    <row r="17" spans="1:26" ht="14.4">
      <c r="B17" s="139" t="s">
        <v>168</v>
      </c>
      <c r="C17" s="139"/>
      <c r="D17" s="191">
        <v>2337</v>
      </c>
      <c r="E17" s="141" t="s">
        <v>103</v>
      </c>
      <c r="F17" s="49"/>
      <c r="H17" s="49"/>
      <c r="K17" s="49"/>
      <c r="L17" s="49"/>
      <c r="M17" s="49"/>
      <c r="N17" s="49"/>
      <c r="O17" s="49"/>
      <c r="P17" s="49"/>
      <c r="Q17" s="49"/>
      <c r="R17" s="49"/>
      <c r="S17" s="49"/>
      <c r="T17" s="190"/>
      <c r="V17" s="190"/>
      <c r="X17" s="190"/>
      <c r="Z17" s="190"/>
    </row>
    <row r="18" spans="1:26" ht="14.4">
      <c r="B18" s="139" t="s">
        <v>167</v>
      </c>
      <c r="C18" s="139"/>
      <c r="D18" s="191" t="e">
        <f>IF(#REF!=1,27095983,22134200+1012466)</f>
        <v>#REF!</v>
      </c>
      <c r="E18" s="141" t="s">
        <v>166</v>
      </c>
      <c r="F18" s="49"/>
      <c r="H18" s="49"/>
      <c r="K18" s="49"/>
      <c r="L18" s="49"/>
      <c r="M18" s="49"/>
      <c r="N18" s="49"/>
      <c r="O18" s="49"/>
      <c r="P18" s="49"/>
      <c r="Q18" s="49"/>
      <c r="R18" s="49"/>
      <c r="S18" s="49"/>
      <c r="T18" s="190"/>
      <c r="V18" s="190"/>
      <c r="X18" s="190"/>
      <c r="Z18" s="190"/>
    </row>
    <row r="19" spans="1:26">
      <c r="B19" s="94"/>
      <c r="C19" s="94"/>
      <c r="D19" s="107"/>
      <c r="E19" s="141"/>
      <c r="F19" s="49"/>
      <c r="H19" s="49"/>
      <c r="K19" s="49"/>
      <c r="L19" s="49"/>
      <c r="M19" s="49"/>
      <c r="N19" s="49"/>
      <c r="O19" s="49"/>
      <c r="P19" s="188"/>
      <c r="Q19" s="49"/>
      <c r="R19" s="49"/>
      <c r="S19" s="49"/>
      <c r="Z19" s="49"/>
    </row>
    <row r="20" spans="1:26" ht="14.4">
      <c r="B20" s="94"/>
      <c r="C20" s="94"/>
      <c r="D20" s="107"/>
      <c r="E20" s="141"/>
      <c r="H20" s="49"/>
      <c r="K20" s="49"/>
      <c r="L20" s="49"/>
      <c r="M20" s="49"/>
      <c r="N20" s="49"/>
      <c r="O20" s="189"/>
      <c r="P20" s="188"/>
      <c r="Q20" s="49"/>
      <c r="R20" s="49"/>
      <c r="S20" s="49"/>
      <c r="Z20" s="49"/>
    </row>
    <row r="21" spans="1:26" ht="14.4">
      <c r="H21" s="49"/>
      <c r="K21" s="49"/>
      <c r="L21" s="49"/>
      <c r="M21" s="48"/>
      <c r="N21" s="48"/>
      <c r="O21" s="174"/>
      <c r="P21" s="48"/>
      <c r="Q21" s="48"/>
      <c r="R21" s="48"/>
      <c r="S21" s="48"/>
      <c r="Z21" s="49"/>
    </row>
    <row r="22" spans="1:26" s="87" customFormat="1" ht="14.4">
      <c r="M22" s="186"/>
      <c r="N22" s="186"/>
      <c r="O22" s="187"/>
      <c r="P22" s="186"/>
      <c r="Q22" s="186"/>
      <c r="R22" s="186"/>
      <c r="S22" s="186"/>
    </row>
    <row r="23" spans="1:26" ht="14.4">
      <c r="G23" s="49"/>
      <c r="H23" s="49"/>
      <c r="I23" s="49"/>
      <c r="J23" s="49"/>
      <c r="K23" s="185"/>
      <c r="L23" s="49"/>
      <c r="M23" s="48"/>
      <c r="N23" s="48"/>
      <c r="O23" s="174"/>
      <c r="P23" s="48"/>
      <c r="Q23" s="48"/>
      <c r="R23" s="48"/>
      <c r="S23" s="48"/>
      <c r="T23" s="49"/>
      <c r="U23" s="49"/>
      <c r="V23" s="49"/>
      <c r="W23" s="49"/>
      <c r="X23" s="49"/>
      <c r="Y23" s="49"/>
      <c r="Z23" s="49"/>
    </row>
    <row r="24" spans="1:26">
      <c r="B24" s="94" t="s">
        <v>221</v>
      </c>
      <c r="G24" s="49"/>
      <c r="H24" s="49"/>
      <c r="I24" s="49"/>
      <c r="J24" s="49"/>
      <c r="K24" s="49"/>
      <c r="L24" s="49"/>
      <c r="M24" s="48"/>
      <c r="N24" s="48"/>
      <c r="O24" s="48"/>
      <c r="P24" s="48"/>
      <c r="Q24" s="48"/>
      <c r="R24" s="48"/>
      <c r="S24" s="48"/>
      <c r="T24" s="49"/>
      <c r="U24" s="49"/>
      <c r="V24" s="49"/>
      <c r="W24" s="49"/>
      <c r="X24" s="49"/>
      <c r="Y24" s="49"/>
      <c r="Z24" s="49"/>
    </row>
    <row r="25" spans="1:26">
      <c r="D25" s="104"/>
      <c r="G25" s="49"/>
      <c r="H25" s="49"/>
      <c r="I25" s="49"/>
      <c r="J25" s="49"/>
      <c r="K25" s="49"/>
      <c r="L25" s="49"/>
      <c r="M25" s="48"/>
      <c r="N25" s="48"/>
      <c r="O25" s="48"/>
      <c r="P25" s="48"/>
      <c r="Q25" s="48"/>
      <c r="R25" s="48"/>
      <c r="S25" s="48"/>
      <c r="T25" s="49"/>
      <c r="U25" s="49"/>
      <c r="V25" s="49"/>
      <c r="W25" s="49"/>
      <c r="X25" s="49"/>
      <c r="Y25" s="49"/>
      <c r="Z25" s="49"/>
    </row>
    <row r="26" spans="1:26">
      <c r="A26" s="184" t="s">
        <v>0</v>
      </c>
      <c r="B26" s="183"/>
      <c r="C26" s="182"/>
      <c r="D26" s="176" t="s">
        <v>218</v>
      </c>
      <c r="E26" s="181" t="s">
        <v>220</v>
      </c>
      <c r="F26" s="181"/>
      <c r="K26" s="49"/>
      <c r="L26" s="49"/>
      <c r="M26" s="48"/>
      <c r="N26" s="48"/>
      <c r="O26" s="48"/>
      <c r="P26" s="48"/>
      <c r="Q26" s="48"/>
      <c r="R26" s="48"/>
      <c r="S26" s="48"/>
      <c r="T26" s="49"/>
      <c r="U26" s="49"/>
      <c r="V26" s="49"/>
      <c r="W26" s="49"/>
      <c r="X26" s="49"/>
      <c r="Y26" s="49"/>
      <c r="Z26" s="49"/>
    </row>
    <row r="27" spans="1:26">
      <c r="A27" s="180" t="s">
        <v>2</v>
      </c>
      <c r="B27" s="180"/>
      <c r="C27" s="179" t="s">
        <v>219</v>
      </c>
      <c r="D27" s="178" t="s">
        <v>81</v>
      </c>
      <c r="E27" s="178" t="s">
        <v>218</v>
      </c>
      <c r="F27" s="175"/>
      <c r="K27" s="49"/>
      <c r="M27" s="48"/>
      <c r="N27" s="48"/>
      <c r="O27" s="48"/>
      <c r="P27" s="48"/>
      <c r="Q27" s="48"/>
      <c r="R27" s="48"/>
      <c r="S27" s="48"/>
      <c r="T27" s="49"/>
      <c r="U27" s="49"/>
      <c r="V27" s="49"/>
      <c r="W27" s="49"/>
      <c r="X27" s="49"/>
      <c r="Y27" s="49"/>
      <c r="Z27" s="49"/>
    </row>
    <row r="28" spans="1:26">
      <c r="A28" s="177"/>
      <c r="B28" s="177" t="s">
        <v>4</v>
      </c>
      <c r="C28" s="177" t="s">
        <v>5</v>
      </c>
      <c r="D28" s="176" t="s">
        <v>6</v>
      </c>
      <c r="E28" s="176" t="s">
        <v>7</v>
      </c>
      <c r="F28" s="175"/>
      <c r="K28" s="49"/>
      <c r="M28" s="48"/>
      <c r="N28" s="48"/>
      <c r="O28" s="48"/>
      <c r="P28" s="48"/>
      <c r="Q28" s="48"/>
      <c r="R28" s="48"/>
      <c r="S28" s="48"/>
      <c r="T28" s="49"/>
      <c r="U28" s="49"/>
      <c r="V28" s="49"/>
      <c r="W28" s="49"/>
      <c r="X28" s="49"/>
      <c r="Y28" s="49"/>
      <c r="Z28" s="49"/>
    </row>
    <row r="29" spans="1:26">
      <c r="A29" s="167">
        <v>1</v>
      </c>
      <c r="B29" s="169" t="s">
        <v>217</v>
      </c>
      <c r="C29" s="169" t="e">
        <f>SUM(D29:E29)</f>
        <v>#REF!</v>
      </c>
      <c r="D29" s="159" t="e">
        <f>#REF!</f>
        <v>#REF!</v>
      </c>
      <c r="E29" s="159" t="e">
        <f>#REF!</f>
        <v>#REF!</v>
      </c>
      <c r="F29" s="163"/>
      <c r="G29" s="176" t="s">
        <v>218</v>
      </c>
      <c r="H29" s="181" t="s">
        <v>220</v>
      </c>
      <c r="K29" s="49"/>
      <c r="M29" s="48"/>
      <c r="N29" s="48"/>
      <c r="O29" s="48"/>
      <c r="P29" s="48"/>
      <c r="Q29" s="48"/>
      <c r="R29" s="48"/>
      <c r="S29" s="48"/>
      <c r="T29" s="49"/>
      <c r="U29" s="49"/>
      <c r="V29" s="49"/>
      <c r="W29" s="49"/>
      <c r="X29" s="49"/>
      <c r="Y29" s="49"/>
      <c r="Z29" s="49"/>
    </row>
    <row r="30" spans="1:26" ht="14.4">
      <c r="A30" s="167">
        <v>2</v>
      </c>
      <c r="B30" s="174" t="s">
        <v>216</v>
      </c>
      <c r="C30" s="169" t="e">
        <f>SUM(D30:E30)</f>
        <v>#REF!</v>
      </c>
      <c r="D30" s="159" t="e">
        <f>#REF!</f>
        <v>#REF!</v>
      </c>
      <c r="E30" s="159" t="e">
        <f>#REF!</f>
        <v>#REF!</v>
      </c>
      <c r="F30" s="163"/>
      <c r="G30" s="178" t="s">
        <v>81</v>
      </c>
      <c r="H30" s="178" t="s">
        <v>218</v>
      </c>
      <c r="K30" s="49"/>
      <c r="R30" s="49"/>
      <c r="S30" s="49"/>
      <c r="T30" s="49"/>
      <c r="U30" s="49"/>
      <c r="V30" s="49"/>
      <c r="W30" s="49"/>
      <c r="X30" s="49"/>
      <c r="Y30" s="49"/>
      <c r="Z30" s="49"/>
    </row>
    <row r="31" spans="1:26" ht="14.4">
      <c r="A31" s="167"/>
      <c r="B31" s="174"/>
      <c r="C31" s="169"/>
      <c r="D31" s="159"/>
      <c r="E31" s="159"/>
      <c r="F31" s="163"/>
      <c r="G31" s="173"/>
      <c r="K31" s="49"/>
      <c r="R31" s="49"/>
      <c r="S31" s="49"/>
      <c r="T31" s="49"/>
      <c r="U31" s="49"/>
      <c r="V31" s="49"/>
      <c r="W31" s="49"/>
      <c r="X31" s="49"/>
      <c r="Y31" s="49"/>
      <c r="Z31" s="49"/>
    </row>
    <row r="32" spans="1:26">
      <c r="A32" s="167">
        <v>3</v>
      </c>
      <c r="B32" s="169" t="s">
        <v>215</v>
      </c>
      <c r="C32" s="164" t="e">
        <f>#REF!</f>
        <v>#REF!</v>
      </c>
      <c r="D32" s="164" t="e">
        <f>$C$32*G32</f>
        <v>#REF!</v>
      </c>
      <c r="E32" s="164" t="e">
        <f>$C$32*H32</f>
        <v>#REF!</v>
      </c>
      <c r="F32" s="163"/>
      <c r="G32" s="265" t="e">
        <f>#REF!</f>
        <v>#REF!</v>
      </c>
      <c r="H32" s="265" t="e">
        <f>#REF!</f>
        <v>#REF!</v>
      </c>
      <c r="K32" s="49"/>
      <c r="R32" s="49"/>
      <c r="S32" s="49"/>
      <c r="T32" s="49"/>
      <c r="U32" s="49"/>
      <c r="V32" s="49"/>
      <c r="W32" s="49"/>
      <c r="X32" s="49"/>
      <c r="Y32" s="49"/>
      <c r="Z32" s="49"/>
    </row>
    <row r="33" spans="1:26">
      <c r="B33" s="166"/>
      <c r="C33" s="172"/>
      <c r="D33" s="171"/>
      <c r="E33" s="171"/>
      <c r="F33" s="16"/>
      <c r="G33" s="9"/>
      <c r="H33" s="9"/>
      <c r="I33" s="121"/>
      <c r="K33" s="49"/>
      <c r="R33" s="49"/>
      <c r="S33" s="49"/>
      <c r="T33" s="49"/>
      <c r="U33" s="49"/>
      <c r="V33" s="49"/>
      <c r="W33" s="49"/>
      <c r="X33" s="49"/>
      <c r="Y33" s="49"/>
      <c r="Z33" s="49"/>
    </row>
    <row r="34" spans="1:26">
      <c r="A34" s="167"/>
      <c r="B34" s="170"/>
      <c r="C34" s="169"/>
      <c r="D34" s="169"/>
      <c r="E34" s="169"/>
      <c r="F34" s="163"/>
      <c r="G34" s="9"/>
      <c r="H34" s="9"/>
      <c r="K34" s="49"/>
      <c r="R34" s="49"/>
      <c r="S34" s="49"/>
      <c r="T34" s="49"/>
      <c r="U34" s="49"/>
      <c r="V34" s="49"/>
      <c r="W34" s="49"/>
      <c r="X34" s="49"/>
      <c r="Y34" s="49"/>
      <c r="Z34" s="49"/>
    </row>
    <row r="35" spans="1:26">
      <c r="A35" s="167"/>
      <c r="B35" s="166" t="s">
        <v>262</v>
      </c>
      <c r="C35" s="168" t="e">
        <f>#REF!*-1000</f>
        <v>#REF!</v>
      </c>
      <c r="D35" s="168" t="e">
        <f>$C$35*G35</f>
        <v>#REF!</v>
      </c>
      <c r="E35" s="168" t="e">
        <f>$C$35*H35</f>
        <v>#REF!</v>
      </c>
      <c r="F35" s="163"/>
      <c r="G35" s="265" t="e">
        <f>G32</f>
        <v>#REF!</v>
      </c>
      <c r="H35" s="265" t="e">
        <f>H32</f>
        <v>#REF!</v>
      </c>
      <c r="K35" s="49"/>
      <c r="R35" s="49"/>
      <c r="S35" s="49"/>
      <c r="T35" s="49"/>
      <c r="U35" s="49"/>
      <c r="V35" s="49"/>
      <c r="W35" s="49"/>
      <c r="X35" s="49"/>
      <c r="Y35" s="49"/>
      <c r="Z35" s="49"/>
    </row>
    <row r="36" spans="1:26">
      <c r="A36" s="167"/>
      <c r="B36" s="166" t="s">
        <v>261</v>
      </c>
      <c r="C36" s="165" t="e">
        <f>C32+C35</f>
        <v>#REF!</v>
      </c>
      <c r="D36" s="164" t="e">
        <f>D35+D32</f>
        <v>#REF!</v>
      </c>
      <c r="E36" s="164" t="e">
        <f>E35+E32</f>
        <v>#REF!</v>
      </c>
      <c r="F36" s="163"/>
      <c r="K36" s="49"/>
      <c r="R36" s="49"/>
      <c r="S36" s="49"/>
      <c r="T36" s="49"/>
      <c r="U36" s="49"/>
      <c r="V36" s="49"/>
      <c r="W36" s="49"/>
      <c r="X36" s="49"/>
      <c r="Y36" s="49"/>
      <c r="Z36" s="49"/>
    </row>
    <row r="37" spans="1:26">
      <c r="I37" s="162"/>
      <c r="K37" s="49"/>
      <c r="R37" s="49"/>
      <c r="S37" s="49"/>
      <c r="T37" s="49"/>
      <c r="U37" s="49"/>
      <c r="V37" s="49"/>
      <c r="W37" s="49"/>
      <c r="X37" s="49"/>
      <c r="Y37" s="49"/>
      <c r="Z37" s="49"/>
    </row>
    <row r="38" spans="1:26">
      <c r="I38" s="162"/>
      <c r="K38" s="49"/>
      <c r="R38" s="49"/>
      <c r="S38" s="49"/>
      <c r="T38" s="49"/>
      <c r="U38" s="49"/>
      <c r="V38" s="49"/>
      <c r="W38" s="49"/>
      <c r="X38" s="49"/>
      <c r="Y38" s="49"/>
      <c r="Z38" s="49"/>
    </row>
    <row r="39" spans="1:26">
      <c r="B39" s="161" t="s">
        <v>214</v>
      </c>
      <c r="C39" s="13" t="s">
        <v>209</v>
      </c>
      <c r="D39" s="132" t="e">
        <f>(D29+D30)</f>
        <v>#REF!</v>
      </c>
      <c r="E39" s="49" t="s">
        <v>213</v>
      </c>
      <c r="K39" s="49"/>
      <c r="R39" s="49"/>
      <c r="S39" s="49"/>
      <c r="T39" s="49"/>
      <c r="U39" s="49"/>
      <c r="V39" s="49"/>
      <c r="W39" s="49"/>
      <c r="X39" s="49"/>
      <c r="Y39" s="49"/>
      <c r="Z39" s="49"/>
    </row>
    <row r="40" spans="1:26" ht="27.6">
      <c r="B40" s="161" t="s">
        <v>212</v>
      </c>
      <c r="C40" s="13" t="s">
        <v>209</v>
      </c>
      <c r="D40" s="132" t="e">
        <f>D35*(D39/D32)</f>
        <v>#REF!</v>
      </c>
      <c r="E40" s="13" t="s">
        <v>211</v>
      </c>
      <c r="K40" s="49"/>
      <c r="R40" s="49"/>
      <c r="S40" s="49"/>
      <c r="T40" s="49"/>
      <c r="U40" s="49"/>
      <c r="V40" s="49"/>
      <c r="W40" s="49"/>
      <c r="X40" s="49"/>
      <c r="Y40" s="49"/>
      <c r="Z40" s="49"/>
    </row>
    <row r="41" spans="1:26" ht="28.2" thickBot="1">
      <c r="B41" s="161" t="s">
        <v>210</v>
      </c>
      <c r="C41" s="13" t="s">
        <v>209</v>
      </c>
      <c r="D41" s="160" t="e">
        <f>D39+D40</f>
        <v>#REF!</v>
      </c>
      <c r="E41" s="13" t="s">
        <v>208</v>
      </c>
      <c r="K41" s="49"/>
      <c r="R41" s="49"/>
      <c r="S41" s="49"/>
      <c r="T41" s="49"/>
      <c r="U41" s="49"/>
      <c r="V41" s="49"/>
      <c r="W41" s="49"/>
      <c r="X41" s="49"/>
      <c r="Y41" s="49"/>
      <c r="Z41" s="49"/>
    </row>
    <row r="42" spans="1:26" ht="14.4" thickTop="1">
      <c r="B42" s="49"/>
      <c r="C42" s="49"/>
      <c r="D42" s="49"/>
      <c r="E42" s="49"/>
      <c r="F42" s="49"/>
      <c r="G42" s="49"/>
      <c r="H42" s="49"/>
      <c r="K42" s="49"/>
      <c r="R42" s="49"/>
      <c r="S42" s="49"/>
      <c r="T42" s="49"/>
      <c r="U42" s="49"/>
      <c r="V42" s="49"/>
      <c r="W42" s="49"/>
      <c r="X42" s="49"/>
      <c r="Y42" s="49"/>
      <c r="Z42" s="49"/>
    </row>
    <row r="43" spans="1:26">
      <c r="B43" s="13" t="s">
        <v>207</v>
      </c>
      <c r="C43" s="49" t="s">
        <v>206</v>
      </c>
      <c r="D43" s="159" t="e">
        <f>#REF!</f>
        <v>#REF!</v>
      </c>
      <c r="E43" s="49" t="s">
        <v>205</v>
      </c>
      <c r="F43" s="49"/>
      <c r="G43" s="49"/>
      <c r="H43" s="49"/>
      <c r="K43" s="49"/>
      <c r="R43" s="49"/>
      <c r="S43" s="49"/>
      <c r="T43" s="49"/>
      <c r="U43" s="49"/>
      <c r="V43" s="49"/>
      <c r="W43" s="49"/>
      <c r="X43" s="49"/>
      <c r="Y43" s="49"/>
      <c r="Z43" s="49"/>
    </row>
    <row r="44" spans="1:26" ht="14.4" thickBot="1">
      <c r="K44" s="49"/>
      <c r="R44" s="49"/>
      <c r="S44" s="49"/>
      <c r="T44" s="49"/>
      <c r="U44" s="49"/>
      <c r="V44" s="49"/>
      <c r="W44" s="49"/>
      <c r="X44" s="49"/>
      <c r="Y44" s="49"/>
      <c r="Z44" s="49"/>
    </row>
    <row r="45" spans="1:26" ht="14.4" thickBot="1">
      <c r="B45" s="13" t="s">
        <v>135</v>
      </c>
      <c r="C45" s="13" t="s">
        <v>97</v>
      </c>
      <c r="D45" s="158" t="e">
        <f>D41/(D43*365)</f>
        <v>#REF!</v>
      </c>
      <c r="E45" s="49" t="s">
        <v>204</v>
      </c>
      <c r="K45" s="49"/>
      <c r="R45" s="49"/>
      <c r="S45" s="49"/>
      <c r="T45" s="49"/>
      <c r="U45" s="49"/>
      <c r="V45" s="49"/>
      <c r="W45" s="49"/>
      <c r="X45" s="49"/>
      <c r="Y45" s="49"/>
      <c r="Z45" s="49"/>
    </row>
    <row r="46" spans="1:26">
      <c r="K46" s="49"/>
      <c r="R46" s="49"/>
      <c r="S46" s="49"/>
      <c r="T46" s="49"/>
      <c r="U46" s="49"/>
      <c r="V46" s="49"/>
      <c r="W46" s="49"/>
      <c r="X46" s="49"/>
      <c r="Y46" s="49"/>
      <c r="Z46" s="49"/>
    </row>
    <row r="47" spans="1:26" s="87" customFormat="1"/>
    <row r="48" spans="1:26">
      <c r="A48" s="49"/>
      <c r="B48" s="150" t="s">
        <v>203</v>
      </c>
      <c r="K48" s="49"/>
    </row>
    <row r="49" spans="1:11">
      <c r="A49" s="49"/>
      <c r="B49" s="157"/>
      <c r="J49" s="156" t="s">
        <v>202</v>
      </c>
      <c r="K49" s="49"/>
    </row>
    <row r="50" spans="1:11">
      <c r="A50" s="49"/>
      <c r="B50" s="150" t="s">
        <v>201</v>
      </c>
      <c r="K50" s="49"/>
    </row>
    <row r="51" spans="1:11">
      <c r="A51" s="49"/>
      <c r="K51" s="49"/>
    </row>
    <row r="52" spans="1:11" ht="66">
      <c r="A52" s="49"/>
      <c r="B52" s="149"/>
      <c r="C52" s="148"/>
      <c r="D52" s="148" t="s">
        <v>200</v>
      </c>
      <c r="E52" s="148" t="s">
        <v>199</v>
      </c>
      <c r="F52" s="148" t="s">
        <v>198</v>
      </c>
      <c r="G52" s="148" t="s">
        <v>197</v>
      </c>
      <c r="H52" s="16"/>
      <c r="K52" s="49"/>
    </row>
    <row r="53" spans="1:11">
      <c r="A53" s="49"/>
      <c r="B53" s="149"/>
      <c r="C53" s="148"/>
      <c r="D53" s="148"/>
      <c r="E53" s="148"/>
      <c r="F53" s="148"/>
      <c r="G53" s="148"/>
      <c r="K53" s="49"/>
    </row>
    <row r="54" spans="1:11">
      <c r="A54" s="49"/>
      <c r="B54" s="147" t="s">
        <v>113</v>
      </c>
      <c r="C54" s="147" t="s">
        <v>112</v>
      </c>
      <c r="D54" s="472" t="s">
        <v>196</v>
      </c>
      <c r="E54" s="472"/>
      <c r="F54" s="472"/>
      <c r="G54" s="472"/>
      <c r="H54" s="94"/>
      <c r="J54" s="105" t="s">
        <v>178</v>
      </c>
      <c r="K54" s="49"/>
    </row>
    <row r="55" spans="1:11">
      <c r="A55" s="49"/>
      <c r="B55" s="145" t="s">
        <v>107</v>
      </c>
      <c r="C55" s="145" t="s">
        <v>106</v>
      </c>
      <c r="D55" s="145"/>
      <c r="E55" s="145"/>
      <c r="F55" s="145"/>
      <c r="G55" s="145"/>
      <c r="I55" s="144" t="s">
        <v>177</v>
      </c>
      <c r="J55" s="144" t="s">
        <v>176</v>
      </c>
      <c r="K55" s="49"/>
    </row>
    <row r="56" spans="1:11">
      <c r="A56" s="49"/>
      <c r="B56" s="145"/>
      <c r="C56" s="145"/>
      <c r="D56" s="145"/>
      <c r="E56" s="145"/>
      <c r="F56" s="145"/>
      <c r="G56" s="145"/>
      <c r="I56" s="144"/>
      <c r="J56" s="144"/>
      <c r="K56" s="49"/>
    </row>
    <row r="57" spans="1:11">
      <c r="A57" s="49"/>
      <c r="B57" s="473">
        <v>50</v>
      </c>
      <c r="C57" s="145">
        <v>50</v>
      </c>
      <c r="D57" s="143">
        <v>0</v>
      </c>
      <c r="E57" s="143">
        <v>1</v>
      </c>
      <c r="F57" s="143">
        <v>0</v>
      </c>
      <c r="G57" s="143">
        <v>0</v>
      </c>
      <c r="I57" s="155">
        <f t="shared" ref="I57:I74" si="0">D57*7+E57*2</f>
        <v>2</v>
      </c>
      <c r="J57" s="155">
        <f t="shared" ref="J57:J74" si="1">F57*12.8+G57*13.8</f>
        <v>0</v>
      </c>
      <c r="K57" s="49"/>
    </row>
    <row r="58" spans="1:11">
      <c r="A58" s="49"/>
      <c r="B58" s="473"/>
      <c r="C58" s="145">
        <v>100</v>
      </c>
      <c r="D58" s="143">
        <v>1</v>
      </c>
      <c r="E58" s="143">
        <v>0</v>
      </c>
      <c r="F58" s="143">
        <v>0.06</v>
      </c>
      <c r="G58" s="143">
        <v>0</v>
      </c>
      <c r="I58" s="155">
        <f t="shared" si="0"/>
        <v>7</v>
      </c>
      <c r="J58" s="155">
        <f t="shared" si="1"/>
        <v>0.76800000000000002</v>
      </c>
      <c r="K58" s="49"/>
    </row>
    <row r="59" spans="1:11">
      <c r="A59" s="49"/>
      <c r="B59" s="473"/>
      <c r="C59" s="145">
        <v>150</v>
      </c>
      <c r="D59" s="143">
        <v>1</v>
      </c>
      <c r="E59" s="143">
        <v>0</v>
      </c>
      <c r="F59" s="143">
        <v>0.19</v>
      </c>
      <c r="G59" s="143">
        <v>0</v>
      </c>
      <c r="I59" s="155">
        <f t="shared" si="0"/>
        <v>7</v>
      </c>
      <c r="J59" s="155">
        <f t="shared" si="1"/>
        <v>2.4320000000000004</v>
      </c>
      <c r="K59" s="49"/>
    </row>
    <row r="60" spans="1:11">
      <c r="A60" s="49"/>
      <c r="B60" s="473"/>
      <c r="C60" s="145">
        <v>200</v>
      </c>
      <c r="D60" s="143">
        <v>1</v>
      </c>
      <c r="E60" s="143">
        <v>0</v>
      </c>
      <c r="F60" s="143">
        <v>0.35</v>
      </c>
      <c r="G60" s="143">
        <v>0</v>
      </c>
      <c r="I60" s="155">
        <f t="shared" si="0"/>
        <v>7</v>
      </c>
      <c r="J60" s="155">
        <f t="shared" si="1"/>
        <v>4.4799999999999995</v>
      </c>
      <c r="K60" s="49"/>
    </row>
    <row r="61" spans="1:11">
      <c r="A61" s="49"/>
      <c r="B61" s="473"/>
      <c r="C61" s="145">
        <v>250</v>
      </c>
      <c r="D61" s="143">
        <v>1</v>
      </c>
      <c r="E61" s="143">
        <v>0</v>
      </c>
      <c r="F61" s="143">
        <v>0.61</v>
      </c>
      <c r="G61" s="143">
        <v>0</v>
      </c>
      <c r="I61" s="155">
        <f t="shared" si="0"/>
        <v>7</v>
      </c>
      <c r="J61" s="155">
        <f t="shared" si="1"/>
        <v>7.8079999999999998</v>
      </c>
      <c r="K61" s="49"/>
    </row>
    <row r="62" spans="1:11">
      <c r="A62" s="49"/>
      <c r="B62" s="473"/>
      <c r="C62" s="145">
        <v>300</v>
      </c>
      <c r="D62" s="143">
        <v>1</v>
      </c>
      <c r="E62" s="143">
        <v>0</v>
      </c>
      <c r="F62" s="143">
        <v>1</v>
      </c>
      <c r="G62" s="143">
        <v>0.01</v>
      </c>
      <c r="I62" s="155">
        <f t="shared" si="0"/>
        <v>7</v>
      </c>
      <c r="J62" s="155">
        <f t="shared" si="1"/>
        <v>12.938000000000001</v>
      </c>
      <c r="K62" s="49"/>
    </row>
    <row r="63" spans="1:11">
      <c r="A63" s="49"/>
      <c r="B63" s="473">
        <v>100</v>
      </c>
      <c r="C63" s="145">
        <v>100</v>
      </c>
      <c r="D63" s="143">
        <v>1</v>
      </c>
      <c r="E63" s="143">
        <v>0</v>
      </c>
      <c r="F63" s="143">
        <v>0.06</v>
      </c>
      <c r="G63" s="143">
        <v>0</v>
      </c>
      <c r="I63" s="155">
        <f t="shared" si="0"/>
        <v>7</v>
      </c>
      <c r="J63" s="155">
        <f t="shared" si="1"/>
        <v>0.76800000000000002</v>
      </c>
      <c r="K63" s="49"/>
    </row>
    <row r="64" spans="1:11">
      <c r="A64" s="49"/>
      <c r="B64" s="473"/>
      <c r="C64" s="145">
        <v>150</v>
      </c>
      <c r="D64" s="143">
        <v>1</v>
      </c>
      <c r="E64" s="143">
        <v>0</v>
      </c>
      <c r="F64" s="143">
        <v>0.2</v>
      </c>
      <c r="G64" s="143">
        <v>0</v>
      </c>
      <c r="I64" s="155">
        <f t="shared" si="0"/>
        <v>7</v>
      </c>
      <c r="J64" s="155">
        <f t="shared" si="1"/>
        <v>2.5600000000000005</v>
      </c>
      <c r="K64" s="49"/>
    </row>
    <row r="65" spans="1:11">
      <c r="A65" s="49"/>
      <c r="B65" s="473"/>
      <c r="C65" s="145">
        <v>200</v>
      </c>
      <c r="D65" s="143">
        <v>1</v>
      </c>
      <c r="E65" s="143">
        <v>0</v>
      </c>
      <c r="F65" s="143">
        <v>0.4</v>
      </c>
      <c r="G65" s="143">
        <v>0</v>
      </c>
      <c r="I65" s="155">
        <f t="shared" si="0"/>
        <v>7</v>
      </c>
      <c r="J65" s="155">
        <f t="shared" si="1"/>
        <v>5.120000000000001</v>
      </c>
      <c r="K65" s="49"/>
    </row>
    <row r="66" spans="1:11">
      <c r="A66" s="49"/>
      <c r="B66" s="473"/>
      <c r="C66" s="145">
        <v>250</v>
      </c>
      <c r="D66" s="143">
        <v>1</v>
      </c>
      <c r="E66" s="143">
        <v>0</v>
      </c>
      <c r="F66" s="143">
        <v>0.78</v>
      </c>
      <c r="G66" s="143">
        <v>0</v>
      </c>
      <c r="I66" s="155">
        <f t="shared" si="0"/>
        <v>7</v>
      </c>
      <c r="J66" s="155">
        <f t="shared" si="1"/>
        <v>9.9840000000000018</v>
      </c>
      <c r="K66" s="49"/>
    </row>
    <row r="67" spans="1:11">
      <c r="A67" s="49"/>
      <c r="B67" s="473"/>
      <c r="C67" s="145">
        <v>300</v>
      </c>
      <c r="D67" s="143">
        <v>1</v>
      </c>
      <c r="E67" s="143">
        <v>0</v>
      </c>
      <c r="F67" s="143">
        <v>1</v>
      </c>
      <c r="G67" s="143">
        <v>0.05</v>
      </c>
      <c r="I67" s="155">
        <f t="shared" si="0"/>
        <v>7</v>
      </c>
      <c r="J67" s="155">
        <f t="shared" si="1"/>
        <v>13.49</v>
      </c>
      <c r="K67" s="49"/>
    </row>
    <row r="68" spans="1:11">
      <c r="A68" s="49"/>
      <c r="B68" s="473">
        <v>150</v>
      </c>
      <c r="C68" s="145">
        <v>150</v>
      </c>
      <c r="D68" s="143">
        <v>1</v>
      </c>
      <c r="E68" s="143">
        <v>0</v>
      </c>
      <c r="F68" s="143">
        <v>0.2</v>
      </c>
      <c r="G68" s="143">
        <v>0</v>
      </c>
      <c r="I68" s="155">
        <f t="shared" si="0"/>
        <v>7</v>
      </c>
      <c r="J68" s="155">
        <f t="shared" si="1"/>
        <v>2.5600000000000005</v>
      </c>
      <c r="K68" s="49"/>
    </row>
    <row r="69" spans="1:11">
      <c r="A69" s="49"/>
      <c r="B69" s="473"/>
      <c r="C69" s="145">
        <v>200</v>
      </c>
      <c r="D69" s="143">
        <v>1</v>
      </c>
      <c r="E69" s="143">
        <v>0</v>
      </c>
      <c r="F69" s="143">
        <v>0.4</v>
      </c>
      <c r="G69" s="143">
        <v>0</v>
      </c>
      <c r="I69" s="155">
        <f t="shared" si="0"/>
        <v>7</v>
      </c>
      <c r="J69" s="155">
        <f t="shared" si="1"/>
        <v>5.120000000000001</v>
      </c>
      <c r="K69" s="49"/>
    </row>
    <row r="70" spans="1:11">
      <c r="A70" s="49"/>
      <c r="B70" s="473"/>
      <c r="C70" s="145">
        <v>250</v>
      </c>
      <c r="D70" s="143">
        <v>1</v>
      </c>
      <c r="E70" s="143">
        <v>0</v>
      </c>
      <c r="F70" s="143">
        <v>0.82</v>
      </c>
      <c r="G70" s="143">
        <v>0</v>
      </c>
      <c r="I70" s="155">
        <f t="shared" si="0"/>
        <v>7</v>
      </c>
      <c r="J70" s="155">
        <f t="shared" si="1"/>
        <v>10.496</v>
      </c>
      <c r="K70" s="49"/>
    </row>
    <row r="71" spans="1:11">
      <c r="A71" s="49"/>
      <c r="B71" s="473"/>
      <c r="C71" s="145">
        <v>300</v>
      </c>
      <c r="D71" s="143">
        <v>1</v>
      </c>
      <c r="E71" s="143">
        <v>0</v>
      </c>
      <c r="F71" s="143">
        <v>1</v>
      </c>
      <c r="G71" s="143">
        <v>0.06</v>
      </c>
      <c r="I71" s="155">
        <f t="shared" si="0"/>
        <v>7</v>
      </c>
      <c r="J71" s="155">
        <f t="shared" si="1"/>
        <v>13.628</v>
      </c>
      <c r="K71" s="49"/>
    </row>
    <row r="72" spans="1:11">
      <c r="A72" s="49"/>
      <c r="B72" s="473">
        <v>200</v>
      </c>
      <c r="C72" s="145">
        <v>200</v>
      </c>
      <c r="D72" s="143">
        <v>1</v>
      </c>
      <c r="E72" s="143">
        <v>0</v>
      </c>
      <c r="F72" s="143">
        <v>0.4</v>
      </c>
      <c r="G72" s="143">
        <v>0</v>
      </c>
      <c r="I72" s="155">
        <f t="shared" si="0"/>
        <v>7</v>
      </c>
      <c r="J72" s="155">
        <f t="shared" si="1"/>
        <v>5.120000000000001</v>
      </c>
      <c r="K72" s="49"/>
    </row>
    <row r="73" spans="1:11">
      <c r="A73" s="49"/>
      <c r="B73" s="473"/>
      <c r="C73" s="145">
        <v>250</v>
      </c>
      <c r="D73" s="143">
        <v>1</v>
      </c>
      <c r="E73" s="143">
        <v>0</v>
      </c>
      <c r="F73" s="143">
        <v>0.82</v>
      </c>
      <c r="G73" s="143">
        <v>0</v>
      </c>
      <c r="I73" s="155">
        <f t="shared" si="0"/>
        <v>7</v>
      </c>
      <c r="J73" s="155">
        <f t="shared" si="1"/>
        <v>10.496</v>
      </c>
      <c r="K73" s="49"/>
    </row>
    <row r="74" spans="1:11">
      <c r="A74" s="49"/>
      <c r="B74" s="473"/>
      <c r="C74" s="145">
        <v>300</v>
      </c>
      <c r="D74" s="143">
        <v>1</v>
      </c>
      <c r="E74" s="143">
        <v>0</v>
      </c>
      <c r="F74" s="143">
        <v>1</v>
      </c>
      <c r="G74" s="143">
        <v>7.0000000000000007E-2</v>
      </c>
      <c r="I74" s="155">
        <f t="shared" si="0"/>
        <v>7</v>
      </c>
      <c r="J74" s="155">
        <f t="shared" si="1"/>
        <v>13.766000000000002</v>
      </c>
      <c r="K74" s="49"/>
    </row>
    <row r="75" spans="1:11">
      <c r="A75" s="49"/>
      <c r="B75" s="49"/>
      <c r="C75" s="49"/>
      <c r="D75" s="49"/>
      <c r="E75" s="49"/>
      <c r="F75" s="49"/>
      <c r="G75" s="49"/>
      <c r="K75" s="49"/>
    </row>
    <row r="76" spans="1:11">
      <c r="A76" s="49"/>
      <c r="B76" s="150" t="s">
        <v>195</v>
      </c>
      <c r="I76" s="49"/>
      <c r="J76" s="49"/>
      <c r="K76" s="49"/>
    </row>
    <row r="77" spans="1:11">
      <c r="A77" s="49"/>
      <c r="B77" s="150"/>
      <c r="K77" s="49"/>
    </row>
    <row r="78" spans="1:11">
      <c r="A78" s="49"/>
      <c r="B78" s="145" t="s">
        <v>194</v>
      </c>
      <c r="C78" s="154" t="s">
        <v>193</v>
      </c>
      <c r="D78" s="154" t="s">
        <v>192</v>
      </c>
      <c r="E78" s="154" t="s">
        <v>191</v>
      </c>
      <c r="F78" s="144" t="s">
        <v>190</v>
      </c>
      <c r="K78" s="49"/>
    </row>
    <row r="79" spans="1:11">
      <c r="A79" s="49"/>
      <c r="B79" s="145" t="s">
        <v>107</v>
      </c>
      <c r="C79" s="16"/>
      <c r="D79" s="16"/>
      <c r="E79" s="16"/>
      <c r="F79" s="153" t="s">
        <v>189</v>
      </c>
      <c r="K79" s="49"/>
    </row>
    <row r="80" spans="1:11">
      <c r="A80" s="49"/>
      <c r="B80" s="145"/>
      <c r="C80" s="16"/>
      <c r="D80" s="16"/>
      <c r="E80" s="16"/>
      <c r="F80" s="48"/>
      <c r="K80" s="49"/>
    </row>
    <row r="81" spans="1:11">
      <c r="A81" s="49"/>
      <c r="B81" s="145">
        <v>50</v>
      </c>
      <c r="C81" s="145">
        <v>24</v>
      </c>
      <c r="D81" s="145" t="s">
        <v>186</v>
      </c>
      <c r="E81" s="145" t="s">
        <v>185</v>
      </c>
      <c r="F81" s="145">
        <v>20.100000000000001</v>
      </c>
      <c r="K81" s="49"/>
    </row>
    <row r="82" spans="1:11">
      <c r="A82" s="49"/>
      <c r="B82" s="145"/>
      <c r="C82" s="145">
        <v>36</v>
      </c>
      <c r="D82" s="145" t="s">
        <v>183</v>
      </c>
      <c r="E82" s="145" t="s">
        <v>188</v>
      </c>
      <c r="F82" s="145">
        <v>25.3</v>
      </c>
      <c r="K82" s="49"/>
    </row>
    <row r="83" spans="1:11" ht="14.4" thickBot="1">
      <c r="A83" s="49"/>
      <c r="B83" s="145"/>
      <c r="C83" s="145"/>
      <c r="D83" s="145"/>
      <c r="E83" s="145"/>
      <c r="F83" s="152">
        <f>F82+F81</f>
        <v>45.400000000000006</v>
      </c>
      <c r="K83" s="49"/>
    </row>
    <row r="84" spans="1:11">
      <c r="A84" s="49"/>
      <c r="B84" s="145"/>
      <c r="C84" s="145"/>
      <c r="D84" s="145"/>
      <c r="E84" s="145"/>
      <c r="F84" s="145"/>
      <c r="K84" s="49"/>
    </row>
    <row r="85" spans="1:11">
      <c r="A85" s="49"/>
      <c r="B85" s="145">
        <v>100</v>
      </c>
      <c r="C85" s="145">
        <v>24</v>
      </c>
      <c r="D85" s="145" t="s">
        <v>186</v>
      </c>
      <c r="E85" s="145" t="s">
        <v>185</v>
      </c>
      <c r="F85" s="145">
        <v>20.100000000000001</v>
      </c>
      <c r="K85" s="49"/>
    </row>
    <row r="86" spans="1:11">
      <c r="A86" s="49"/>
      <c r="B86" s="145"/>
      <c r="C86" s="145">
        <v>36</v>
      </c>
      <c r="D86" s="145" t="s">
        <v>183</v>
      </c>
      <c r="E86" s="145" t="s">
        <v>188</v>
      </c>
      <c r="F86" s="145">
        <v>25.3</v>
      </c>
      <c r="K86" s="49"/>
    </row>
    <row r="87" spans="1:11">
      <c r="A87" s="49"/>
      <c r="B87" s="145"/>
      <c r="C87" s="145">
        <v>36</v>
      </c>
      <c r="D87" s="145" t="s">
        <v>187</v>
      </c>
      <c r="E87" s="145" t="s">
        <v>182</v>
      </c>
      <c r="F87" s="145">
        <v>32.799999999999997</v>
      </c>
      <c r="K87" s="49"/>
    </row>
    <row r="88" spans="1:11" ht="14.4" thickBot="1">
      <c r="A88" s="49"/>
      <c r="B88" s="145"/>
      <c r="C88" s="145"/>
      <c r="D88" s="145"/>
      <c r="E88" s="145"/>
      <c r="F88" s="152">
        <f>SUM(F85:F87)</f>
        <v>78.2</v>
      </c>
      <c r="K88" s="49"/>
    </row>
    <row r="89" spans="1:11">
      <c r="A89" s="49"/>
      <c r="B89" s="145"/>
      <c r="C89" s="145"/>
      <c r="D89" s="145"/>
      <c r="E89" s="145"/>
      <c r="F89" s="145"/>
      <c r="K89" s="49"/>
    </row>
    <row r="90" spans="1:11">
      <c r="A90" s="49"/>
      <c r="B90" s="145">
        <v>150</v>
      </c>
      <c r="C90" s="145">
        <v>36</v>
      </c>
      <c r="D90" s="145" t="s">
        <v>186</v>
      </c>
      <c r="E90" s="145" t="s">
        <v>185</v>
      </c>
      <c r="F90" s="145">
        <v>20.100000000000001</v>
      </c>
      <c r="K90" s="49"/>
    </row>
    <row r="91" spans="1:11">
      <c r="A91" s="49"/>
      <c r="B91" s="145"/>
      <c r="C91" s="145">
        <v>36</v>
      </c>
      <c r="D91" s="145" t="s">
        <v>183</v>
      </c>
      <c r="E91" s="145" t="s">
        <v>184</v>
      </c>
      <c r="F91" s="145">
        <v>103.3</v>
      </c>
      <c r="K91" s="49"/>
    </row>
    <row r="92" spans="1:11" ht="14.4" thickBot="1">
      <c r="A92" s="49"/>
      <c r="B92" s="145"/>
      <c r="C92" s="145"/>
      <c r="D92" s="145"/>
      <c r="E92" s="145"/>
      <c r="F92" s="152">
        <f>F91+F90</f>
        <v>123.4</v>
      </c>
      <c r="K92" s="49"/>
    </row>
    <row r="93" spans="1:11">
      <c r="A93" s="49"/>
      <c r="B93" s="145"/>
      <c r="C93" s="145"/>
      <c r="D93" s="145"/>
      <c r="E93" s="145"/>
      <c r="F93" s="145"/>
      <c r="K93" s="49"/>
    </row>
    <row r="94" spans="1:11">
      <c r="A94" s="49"/>
      <c r="B94" s="145">
        <v>200</v>
      </c>
      <c r="C94" s="145">
        <v>42</v>
      </c>
      <c r="D94" s="145" t="s">
        <v>186</v>
      </c>
      <c r="E94" s="145" t="s">
        <v>185</v>
      </c>
      <c r="F94" s="145">
        <v>20.100000000000001</v>
      </c>
      <c r="K94" s="49"/>
    </row>
    <row r="95" spans="1:11">
      <c r="A95" s="49"/>
      <c r="B95" s="16"/>
      <c r="C95" s="145">
        <v>42</v>
      </c>
      <c r="D95" s="145" t="s">
        <v>182</v>
      </c>
      <c r="E95" s="145" t="s">
        <v>184</v>
      </c>
      <c r="F95" s="145">
        <v>32.700000000000003</v>
      </c>
      <c r="K95" s="49"/>
    </row>
    <row r="96" spans="1:11">
      <c r="A96" s="49"/>
      <c r="C96" s="145">
        <v>48</v>
      </c>
      <c r="D96" s="145" t="s">
        <v>183</v>
      </c>
      <c r="E96" s="145" t="s">
        <v>182</v>
      </c>
      <c r="F96" s="145">
        <v>70.7</v>
      </c>
      <c r="K96" s="49"/>
    </row>
    <row r="97" spans="1:11" ht="14.4" thickBot="1">
      <c r="A97" s="49"/>
      <c r="F97" s="152">
        <f>F96+F95+F94</f>
        <v>123.5</v>
      </c>
      <c r="K97" s="49"/>
    </row>
    <row r="98" spans="1:11">
      <c r="A98" s="49"/>
      <c r="K98" s="49"/>
    </row>
    <row r="99" spans="1:11">
      <c r="A99" s="49"/>
      <c r="B99" s="151"/>
      <c r="C99" s="151"/>
      <c r="D99" s="151"/>
      <c r="E99" s="151"/>
      <c r="F99" s="151"/>
      <c r="G99" s="151"/>
      <c r="H99" s="151"/>
      <c r="K99" s="49"/>
    </row>
    <row r="100" spans="1:11">
      <c r="A100" s="49"/>
      <c r="I100" s="16"/>
      <c r="J100" s="16"/>
      <c r="K100" s="49"/>
    </row>
    <row r="101" spans="1:11">
      <c r="A101" s="49"/>
      <c r="B101" s="150" t="s">
        <v>181</v>
      </c>
      <c r="I101" s="16"/>
      <c r="J101" s="16"/>
      <c r="K101" s="49"/>
    </row>
    <row r="102" spans="1:11">
      <c r="A102" s="49"/>
      <c r="B102" s="150"/>
      <c r="K102" s="49"/>
    </row>
    <row r="103" spans="1:11" ht="52.8">
      <c r="A103" s="49"/>
      <c r="B103" s="149"/>
      <c r="C103" s="148"/>
      <c r="D103" s="148" t="s">
        <v>180</v>
      </c>
      <c r="E103" s="145" t="s">
        <v>179</v>
      </c>
      <c r="G103" s="105" t="s">
        <v>178</v>
      </c>
      <c r="H103" s="16"/>
      <c r="K103" s="49"/>
    </row>
    <row r="104" spans="1:11">
      <c r="A104" s="49"/>
      <c r="B104" s="147" t="s">
        <v>113</v>
      </c>
      <c r="C104" s="147" t="s">
        <v>112</v>
      </c>
      <c r="D104" s="146"/>
      <c r="E104" s="146"/>
      <c r="F104" s="144" t="s">
        <v>177</v>
      </c>
      <c r="G104" s="144" t="s">
        <v>176</v>
      </c>
      <c r="H104" s="94"/>
      <c r="K104" s="49"/>
    </row>
    <row r="105" spans="1:11">
      <c r="A105" s="49"/>
      <c r="B105" s="145" t="s">
        <v>107</v>
      </c>
      <c r="C105" s="145" t="s">
        <v>106</v>
      </c>
      <c r="D105" s="145"/>
      <c r="F105" s="144"/>
      <c r="G105" s="144"/>
      <c r="K105" s="49"/>
    </row>
    <row r="106" spans="1:11">
      <c r="A106" s="49"/>
      <c r="K106" s="49"/>
    </row>
    <row r="107" spans="1:11">
      <c r="A107" s="49"/>
      <c r="B107" s="13">
        <v>50</v>
      </c>
      <c r="D107" s="143">
        <v>1</v>
      </c>
      <c r="F107" s="105">
        <f>D107*1+E107*6</f>
        <v>1</v>
      </c>
      <c r="G107" s="142">
        <v>0</v>
      </c>
      <c r="K107" s="49"/>
    </row>
    <row r="108" spans="1:11">
      <c r="A108" s="49"/>
      <c r="B108" s="13">
        <v>100</v>
      </c>
      <c r="D108" s="143">
        <v>1</v>
      </c>
      <c r="F108" s="105">
        <f>D108*1+E108*6</f>
        <v>1</v>
      </c>
      <c r="G108" s="142">
        <v>0</v>
      </c>
      <c r="K108" s="49"/>
    </row>
    <row r="109" spans="1:11">
      <c r="A109" s="49"/>
      <c r="D109" s="143"/>
      <c r="F109" s="105"/>
      <c r="G109" s="142"/>
      <c r="K109" s="49"/>
    </row>
    <row r="110" spans="1:11">
      <c r="A110" s="49"/>
      <c r="B110" s="13">
        <v>150</v>
      </c>
      <c r="E110" s="143">
        <v>1</v>
      </c>
      <c r="F110" s="105">
        <f>D110*1+E110*6</f>
        <v>6</v>
      </c>
      <c r="G110" s="142">
        <v>0</v>
      </c>
      <c r="K110" s="49"/>
    </row>
    <row r="111" spans="1:11">
      <c r="A111" s="49"/>
      <c r="B111" s="13">
        <v>200</v>
      </c>
      <c r="E111" s="143">
        <v>1</v>
      </c>
      <c r="F111" s="105">
        <f>D111*1+E111*6</f>
        <v>6</v>
      </c>
      <c r="G111" s="142">
        <v>0</v>
      </c>
      <c r="K111" s="49"/>
    </row>
    <row r="112" spans="1:11">
      <c r="A112" s="49"/>
      <c r="K112" s="49"/>
    </row>
    <row r="113" spans="1:28" s="87" customFormat="1"/>
    <row r="114" spans="1:28">
      <c r="A114" s="49"/>
      <c r="K114" s="49"/>
      <c r="T114" s="49"/>
      <c r="U114" s="49"/>
      <c r="V114" s="49"/>
      <c r="W114" s="49"/>
      <c r="X114" s="49"/>
      <c r="Y114" s="49"/>
      <c r="Z114" s="49"/>
      <c r="AA114" s="49"/>
      <c r="AB114" s="49"/>
    </row>
    <row r="115" spans="1:28">
      <c r="A115" s="49"/>
      <c r="K115" s="49"/>
      <c r="T115" s="49"/>
      <c r="U115" s="49"/>
      <c r="V115" s="49"/>
      <c r="W115" s="49"/>
      <c r="X115" s="49"/>
      <c r="Y115" s="49"/>
      <c r="Z115" s="49"/>
      <c r="AA115" s="49"/>
      <c r="AB115" s="49"/>
    </row>
    <row r="116" spans="1:28">
      <c r="A116" s="49"/>
      <c r="K116" s="125" t="s">
        <v>175</v>
      </c>
      <c r="T116" s="49"/>
      <c r="U116" s="49"/>
      <c r="V116" s="49"/>
      <c r="W116" s="49"/>
      <c r="X116" s="49"/>
      <c r="Y116" s="49"/>
      <c r="Z116" s="49"/>
      <c r="AA116" s="49"/>
      <c r="AB116" s="49"/>
    </row>
    <row r="117" spans="1:28">
      <c r="A117" s="49"/>
      <c r="B117" s="124" t="s">
        <v>174</v>
      </c>
      <c r="K117" s="49"/>
      <c r="T117" s="49"/>
      <c r="U117" s="49"/>
      <c r="V117" s="49"/>
      <c r="W117" s="49"/>
      <c r="X117" s="49"/>
      <c r="Y117" s="49"/>
      <c r="Z117" s="49"/>
      <c r="AA117" s="49"/>
      <c r="AB117" s="49"/>
    </row>
    <row r="118" spans="1:28">
      <c r="A118" s="49"/>
      <c r="B118" s="43"/>
      <c r="K118" s="49"/>
      <c r="T118" s="49"/>
      <c r="U118" s="49"/>
      <c r="V118" s="49"/>
      <c r="W118" s="49"/>
      <c r="X118" s="49"/>
      <c r="Y118" s="49"/>
      <c r="Z118" s="49"/>
      <c r="AA118" s="49"/>
      <c r="AB118" s="49"/>
    </row>
    <row r="119" spans="1:28">
      <c r="A119" s="49"/>
      <c r="B119" s="129" t="s">
        <v>173</v>
      </c>
      <c r="C119" s="94"/>
      <c r="D119" s="94"/>
      <c r="E119" s="94"/>
      <c r="K119" s="49"/>
      <c r="T119" s="49"/>
      <c r="U119" s="49"/>
      <c r="V119" s="49"/>
      <c r="W119" s="49"/>
      <c r="X119" s="49"/>
      <c r="Y119" s="49"/>
      <c r="Z119" s="49"/>
      <c r="AA119" s="49"/>
      <c r="AB119" s="49"/>
    </row>
    <row r="120" spans="1:28">
      <c r="A120" s="49"/>
      <c r="B120" s="94" t="s">
        <v>172</v>
      </c>
      <c r="C120" s="94"/>
      <c r="D120" s="107">
        <f>D15</f>
        <v>14101.476000000001</v>
      </c>
      <c r="E120" s="141" t="s">
        <v>171</v>
      </c>
      <c r="K120" s="49"/>
      <c r="T120" s="49"/>
      <c r="U120" s="49"/>
      <c r="V120" s="49"/>
      <c r="W120" s="49"/>
      <c r="X120" s="49"/>
      <c r="Y120" s="49"/>
      <c r="Z120" s="49"/>
      <c r="AA120" s="49"/>
      <c r="AB120" s="49"/>
    </row>
    <row r="121" spans="1:28">
      <c r="A121" s="49"/>
      <c r="B121" s="94" t="s">
        <v>170</v>
      </c>
      <c r="C121" s="94"/>
      <c r="D121" s="107">
        <f>D16</f>
        <v>146</v>
      </c>
      <c r="E121" s="141" t="s">
        <v>169</v>
      </c>
      <c r="T121" s="49"/>
      <c r="U121" s="49"/>
      <c r="V121" s="49"/>
      <c r="W121" s="49"/>
      <c r="X121" s="49"/>
      <c r="Y121" s="49"/>
      <c r="Z121" s="49"/>
      <c r="AA121" s="49"/>
      <c r="AB121" s="49"/>
    </row>
    <row r="122" spans="1:28">
      <c r="A122" s="49"/>
      <c r="B122" s="94" t="s">
        <v>168</v>
      </c>
      <c r="C122" s="94"/>
      <c r="D122" s="107">
        <f>D17</f>
        <v>2337</v>
      </c>
      <c r="E122" s="141" t="s">
        <v>103</v>
      </c>
      <c r="T122" s="49"/>
      <c r="U122" s="49"/>
      <c r="V122" s="49"/>
      <c r="W122" s="49"/>
      <c r="X122" s="49"/>
      <c r="Y122" s="49"/>
      <c r="Z122" s="49"/>
      <c r="AA122" s="49"/>
      <c r="AB122" s="49"/>
    </row>
    <row r="123" spans="1:28">
      <c r="A123" s="49"/>
      <c r="B123" s="94" t="s">
        <v>167</v>
      </c>
      <c r="C123" s="94"/>
      <c r="D123" s="107" t="e">
        <f>D18</f>
        <v>#REF!</v>
      </c>
      <c r="E123" s="141" t="s">
        <v>166</v>
      </c>
      <c r="T123" s="49"/>
      <c r="U123" s="49"/>
      <c r="V123" s="49"/>
      <c r="W123" s="49"/>
      <c r="X123" s="49"/>
      <c r="Y123" s="49"/>
      <c r="Z123" s="49"/>
      <c r="AA123" s="49"/>
      <c r="AB123" s="49"/>
    </row>
    <row r="124" spans="1:28">
      <c r="A124" s="49"/>
      <c r="B124" s="94"/>
      <c r="C124" s="94"/>
      <c r="D124" s="107"/>
      <c r="E124" s="141"/>
      <c r="T124" s="49"/>
      <c r="U124" s="49"/>
      <c r="V124" s="49"/>
      <c r="W124" s="49"/>
      <c r="X124" s="49"/>
      <c r="Y124" s="49"/>
      <c r="Z124" s="49"/>
      <c r="AA124" s="49"/>
      <c r="AB124" s="49"/>
    </row>
    <row r="125" spans="1:28">
      <c r="A125" s="49"/>
      <c r="B125" s="94"/>
      <c r="C125" s="94"/>
      <c r="D125" s="107"/>
      <c r="E125" s="141"/>
      <c r="T125" s="49"/>
      <c r="U125" s="49"/>
      <c r="V125" s="49"/>
      <c r="W125" s="49"/>
      <c r="X125" s="49"/>
      <c r="Y125" s="49"/>
      <c r="Z125" s="49"/>
      <c r="AA125" s="49"/>
      <c r="AB125" s="49"/>
    </row>
    <row r="126" spans="1:28">
      <c r="A126" s="49"/>
      <c r="B126" s="129" t="s">
        <v>165</v>
      </c>
      <c r="C126" s="94"/>
      <c r="D126" s="107"/>
      <c r="E126" s="141"/>
      <c r="T126" s="49"/>
      <c r="U126" s="49"/>
      <c r="V126" s="49"/>
      <c r="W126" s="49"/>
      <c r="X126" s="49"/>
      <c r="Y126" s="49"/>
      <c r="Z126" s="49"/>
      <c r="AA126" s="49"/>
      <c r="AB126" s="49"/>
    </row>
    <row r="127" spans="1:28">
      <c r="A127" s="49"/>
      <c r="B127" s="139" t="s">
        <v>164</v>
      </c>
      <c r="C127" s="139"/>
      <c r="D127" s="138" t="e">
        <f>E36*1000</f>
        <v>#REF!</v>
      </c>
      <c r="E127" s="137" t="s">
        <v>163</v>
      </c>
      <c r="F127" s="49"/>
      <c r="T127" s="49"/>
      <c r="U127" s="49"/>
      <c r="V127" s="49"/>
      <c r="W127" s="49"/>
      <c r="X127" s="49"/>
      <c r="Y127" s="49"/>
      <c r="Z127" s="49"/>
      <c r="AA127" s="49"/>
      <c r="AB127" s="49"/>
    </row>
    <row r="128" spans="1:28">
      <c r="A128" s="49"/>
      <c r="B128" s="139"/>
      <c r="C128" s="139"/>
      <c r="D128" s="139"/>
      <c r="E128" s="140"/>
      <c r="F128" s="49"/>
      <c r="T128" s="49"/>
      <c r="U128" s="49"/>
      <c r="V128" s="49"/>
      <c r="W128" s="49"/>
      <c r="X128" s="49"/>
      <c r="Y128" s="49"/>
      <c r="Z128" s="49"/>
      <c r="AA128" s="49"/>
      <c r="AB128" s="49"/>
    </row>
    <row r="129" spans="1:28">
      <c r="A129" s="49"/>
      <c r="B129" s="139" t="s">
        <v>162</v>
      </c>
      <c r="C129" s="139"/>
      <c r="D129" s="133" t="e">
        <f>'Net Plant'!I8*1000</f>
        <v>#REF!</v>
      </c>
      <c r="E129" s="137" t="s">
        <v>161</v>
      </c>
      <c r="T129" s="49"/>
      <c r="U129" s="49"/>
      <c r="V129" s="49"/>
      <c r="W129" s="49"/>
      <c r="X129" s="49"/>
      <c r="Y129" s="49"/>
      <c r="Z129" s="49"/>
      <c r="AA129" s="49"/>
      <c r="AB129" s="49"/>
    </row>
    <row r="130" spans="1:28">
      <c r="A130" s="49"/>
      <c r="B130" s="139"/>
      <c r="C130" s="139"/>
      <c r="D130" s="138"/>
      <c r="E130" s="137"/>
      <c r="F130" s="49"/>
      <c r="T130" s="49"/>
      <c r="U130" s="49"/>
      <c r="V130" s="49"/>
      <c r="W130" s="49"/>
      <c r="X130" s="49"/>
      <c r="Y130" s="49"/>
      <c r="Z130" s="49"/>
      <c r="AA130" s="49"/>
      <c r="AB130" s="49"/>
    </row>
    <row r="131" spans="1:28">
      <c r="A131" s="49"/>
      <c r="B131" s="94"/>
      <c r="C131" s="94"/>
      <c r="D131" s="136"/>
      <c r="E131" s="102"/>
      <c r="T131" s="49"/>
      <c r="U131" s="49"/>
      <c r="V131" s="49"/>
      <c r="W131" s="49"/>
      <c r="X131" s="49"/>
      <c r="Y131" s="49"/>
      <c r="Z131" s="49"/>
      <c r="AA131" s="49"/>
      <c r="AB131" s="49"/>
    </row>
    <row r="132" spans="1:28">
      <c r="A132" s="49"/>
      <c r="B132" s="94"/>
      <c r="C132" s="94"/>
      <c r="D132" s="105" t="s">
        <v>160</v>
      </c>
      <c r="E132" s="102"/>
      <c r="F132" s="135" t="s">
        <v>159</v>
      </c>
      <c r="T132" s="49"/>
      <c r="U132" s="49"/>
      <c r="V132" s="49"/>
      <c r="W132" s="49"/>
      <c r="X132" s="49"/>
      <c r="Y132" s="49"/>
      <c r="Z132" s="49"/>
      <c r="AA132" s="49"/>
      <c r="AB132" s="49"/>
    </row>
    <row r="133" spans="1:28">
      <c r="A133" s="49"/>
      <c r="B133" s="94"/>
      <c r="C133" s="94"/>
      <c r="D133" s="110" t="s">
        <v>158</v>
      </c>
      <c r="E133" s="102"/>
      <c r="F133" s="110" t="s">
        <v>157</v>
      </c>
      <c r="T133" s="49"/>
      <c r="U133" s="49"/>
      <c r="V133" s="49"/>
      <c r="W133" s="49"/>
      <c r="X133" s="49"/>
      <c r="Y133" s="49"/>
      <c r="Z133" s="49"/>
      <c r="AA133" s="49"/>
      <c r="AB133" s="49"/>
    </row>
    <row r="134" spans="1:28">
      <c r="A134" s="49"/>
      <c r="B134" s="94" t="s">
        <v>156</v>
      </c>
      <c r="C134" s="94"/>
      <c r="D134" s="133" t="e">
        <f>'Net Plant'!I13*1000</f>
        <v>#REF!</v>
      </c>
      <c r="E134" s="102" t="s">
        <v>155</v>
      </c>
      <c r="F134" s="132" t="e">
        <f>D134/$D$129*$D$127</f>
        <v>#REF!</v>
      </c>
      <c r="G134" s="102" t="str">
        <f>"K = ("&amp;E134&amp;"/F) x E"</f>
        <v>K = (G/F) x E</v>
      </c>
      <c r="T134" s="49"/>
      <c r="U134" s="49"/>
      <c r="V134" s="49"/>
      <c r="W134" s="49"/>
      <c r="X134" s="49"/>
      <c r="Y134" s="49"/>
      <c r="Z134" s="49"/>
      <c r="AA134" s="49"/>
      <c r="AB134" s="49"/>
    </row>
    <row r="135" spans="1:28">
      <c r="A135" s="49"/>
      <c r="B135" s="94" t="s">
        <v>154</v>
      </c>
      <c r="C135" s="94"/>
      <c r="D135" s="133" t="e">
        <f>'Net Plant'!I14*1000</f>
        <v>#REF!</v>
      </c>
      <c r="E135" s="102" t="s">
        <v>153</v>
      </c>
      <c r="F135" s="132" t="e">
        <f>D135/$D$129*$D$127</f>
        <v>#REF!</v>
      </c>
      <c r="G135" s="102" t="str">
        <f>"L = ("&amp;E135&amp;"/F) x E"</f>
        <v>L = (H/F) x E</v>
      </c>
      <c r="T135" s="49"/>
      <c r="U135" s="49"/>
      <c r="V135" s="49"/>
      <c r="W135" s="49"/>
      <c r="X135" s="49"/>
      <c r="Y135" s="49"/>
      <c r="Z135" s="49"/>
      <c r="AA135" s="49"/>
      <c r="AB135" s="49"/>
    </row>
    <row r="136" spans="1:28">
      <c r="A136" s="49"/>
      <c r="B136" s="94" t="s">
        <v>152</v>
      </c>
      <c r="C136" s="94"/>
      <c r="D136" s="133" t="e">
        <f>'Net Plant'!I15*1000</f>
        <v>#REF!</v>
      </c>
      <c r="E136" s="102" t="s">
        <v>151</v>
      </c>
      <c r="F136" s="132" t="e">
        <f>D136/$D$129*$D$127</f>
        <v>#REF!</v>
      </c>
      <c r="G136" s="102" t="str">
        <f>"M = ("&amp;E136&amp;"/F) x E"</f>
        <v>M = (I/F) x E</v>
      </c>
      <c r="T136" s="49"/>
      <c r="U136" s="49"/>
      <c r="V136" s="49"/>
      <c r="W136" s="49"/>
      <c r="X136" s="49"/>
      <c r="Y136" s="49"/>
      <c r="Z136" s="49"/>
      <c r="AA136" s="49"/>
      <c r="AB136" s="49"/>
    </row>
    <row r="137" spans="1:28">
      <c r="A137" s="49"/>
      <c r="B137" s="94" t="s">
        <v>150</v>
      </c>
      <c r="C137" s="94"/>
      <c r="D137" s="133" t="e">
        <f>'Net Plant'!I16*1000</f>
        <v>#REF!</v>
      </c>
      <c r="E137" s="102" t="s">
        <v>149</v>
      </c>
      <c r="F137" s="132" t="e">
        <f>D137/$D$129*$D$127</f>
        <v>#REF!</v>
      </c>
      <c r="G137" s="102" t="str">
        <f>"N = ("&amp;E137&amp;"/F) x E"</f>
        <v>N = (J/F) x E</v>
      </c>
      <c r="T137" s="49"/>
      <c r="U137" s="49"/>
      <c r="V137" s="49"/>
      <c r="W137" s="49"/>
      <c r="X137" s="49"/>
      <c r="Y137" s="49"/>
      <c r="Z137" s="49"/>
      <c r="AA137" s="49"/>
      <c r="AB137" s="49"/>
    </row>
    <row r="138" spans="1:28">
      <c r="A138" s="49"/>
      <c r="B138" s="94"/>
      <c r="C138" s="94"/>
      <c r="D138" s="131"/>
      <c r="E138" s="130"/>
      <c r="T138" s="49"/>
      <c r="U138" s="49"/>
      <c r="V138" s="49"/>
      <c r="W138" s="49"/>
      <c r="X138" s="49"/>
      <c r="Y138" s="49"/>
      <c r="Z138" s="49"/>
      <c r="AA138" s="49"/>
      <c r="AB138" s="49"/>
    </row>
    <row r="139" spans="1:28">
      <c r="A139" s="49"/>
      <c r="B139" s="94"/>
      <c r="C139" s="94"/>
      <c r="D139" s="131"/>
      <c r="E139" s="130"/>
      <c r="T139" s="49"/>
      <c r="U139" s="49"/>
      <c r="V139" s="49"/>
      <c r="W139" s="49"/>
      <c r="X139" s="49"/>
      <c r="Y139" s="49"/>
      <c r="Z139" s="49"/>
      <c r="AA139" s="49"/>
      <c r="AB139" s="49"/>
    </row>
    <row r="140" spans="1:28">
      <c r="A140" s="49"/>
      <c r="B140" s="129" t="s">
        <v>148</v>
      </c>
      <c r="C140" s="94"/>
      <c r="D140" s="94"/>
      <c r="E140" s="105"/>
      <c r="T140" s="49"/>
      <c r="U140" s="49"/>
      <c r="V140" s="49"/>
      <c r="W140" s="49"/>
      <c r="X140" s="49"/>
      <c r="Y140" s="49"/>
      <c r="Z140" s="49"/>
      <c r="AA140" s="49"/>
      <c r="AB140" s="49"/>
    </row>
    <row r="141" spans="1:28">
      <c r="A141" s="49"/>
      <c r="B141" s="94" t="s">
        <v>147</v>
      </c>
      <c r="C141" s="94" t="s">
        <v>146</v>
      </c>
      <c r="D141" s="136" t="e">
        <f>F134/D120</f>
        <v>#REF!</v>
      </c>
      <c r="E141" s="102" t="s">
        <v>145</v>
      </c>
      <c r="T141" s="49"/>
      <c r="U141" s="49"/>
      <c r="V141" s="49"/>
      <c r="W141" s="49"/>
      <c r="X141" s="49"/>
      <c r="Y141" s="49"/>
      <c r="Z141" s="49"/>
      <c r="AA141" s="49"/>
      <c r="AB141" s="49"/>
    </row>
    <row r="142" spans="1:28">
      <c r="A142" s="49"/>
      <c r="B142" s="94" t="s">
        <v>144</v>
      </c>
      <c r="C142" s="94" t="s">
        <v>143</v>
      </c>
      <c r="D142" s="136" t="e">
        <f>F135/D121</f>
        <v>#REF!</v>
      </c>
      <c r="E142" s="102" t="s">
        <v>142</v>
      </c>
      <c r="T142" s="49"/>
      <c r="U142" s="49"/>
      <c r="V142" s="49"/>
      <c r="W142" s="49"/>
      <c r="X142" s="49"/>
      <c r="Y142" s="49"/>
      <c r="Z142" s="49"/>
      <c r="AA142" s="49"/>
      <c r="AB142" s="49"/>
    </row>
    <row r="143" spans="1:28">
      <c r="A143" s="49"/>
      <c r="B143" s="94" t="s">
        <v>141</v>
      </c>
      <c r="C143" s="94" t="s">
        <v>140</v>
      </c>
      <c r="D143" s="136" t="e">
        <f>F136/D122</f>
        <v>#REF!</v>
      </c>
      <c r="E143" s="102" t="s">
        <v>139</v>
      </c>
      <c r="T143" s="49"/>
      <c r="U143" s="49"/>
      <c r="V143" s="49"/>
      <c r="W143" s="49"/>
      <c r="X143" s="49"/>
      <c r="Y143" s="49"/>
      <c r="Z143" s="49"/>
      <c r="AA143" s="49"/>
      <c r="AB143" s="49"/>
    </row>
    <row r="144" spans="1:28">
      <c r="A144" s="49"/>
      <c r="B144" s="94" t="s">
        <v>138</v>
      </c>
      <c r="C144" s="94" t="s">
        <v>137</v>
      </c>
      <c r="D144" s="127" t="e">
        <f>F137/D123</f>
        <v>#REF!</v>
      </c>
      <c r="E144" s="102" t="s">
        <v>136</v>
      </c>
      <c r="T144" s="49"/>
      <c r="U144" s="49"/>
      <c r="V144" s="49"/>
      <c r="W144" s="49"/>
      <c r="X144" s="49"/>
      <c r="Y144" s="49"/>
      <c r="Z144" s="49"/>
      <c r="AA144" s="49"/>
      <c r="AB144" s="49"/>
    </row>
    <row r="145" spans="1:28">
      <c r="A145" s="49"/>
      <c r="B145" s="94" t="s">
        <v>135</v>
      </c>
      <c r="C145" s="94" t="s">
        <v>97</v>
      </c>
      <c r="D145" s="126" t="e">
        <f>D45</f>
        <v>#REF!</v>
      </c>
      <c r="E145" s="102" t="s">
        <v>134</v>
      </c>
      <c r="F145" s="94"/>
      <c r="T145" s="49"/>
      <c r="U145" s="49"/>
      <c r="V145" s="49"/>
      <c r="W145" s="49"/>
      <c r="X145" s="49"/>
      <c r="Y145" s="49"/>
      <c r="Z145" s="49"/>
      <c r="AA145" s="49"/>
      <c r="AB145" s="49"/>
    </row>
    <row r="146" spans="1:28">
      <c r="A146" s="49"/>
      <c r="T146" s="49"/>
      <c r="U146" s="49"/>
      <c r="V146" s="49"/>
      <c r="W146" s="49"/>
      <c r="X146" s="49"/>
      <c r="Y146" s="49"/>
      <c r="Z146" s="49"/>
      <c r="AA146" s="49"/>
      <c r="AB146" s="49"/>
    </row>
    <row r="147" spans="1:28">
      <c r="T147" s="49"/>
      <c r="U147" s="49"/>
      <c r="V147" s="49"/>
      <c r="W147" s="49"/>
      <c r="X147" s="49"/>
      <c r="Y147" s="49"/>
      <c r="Z147" s="49"/>
      <c r="AA147" s="49"/>
      <c r="AB147" s="49"/>
    </row>
    <row r="148" spans="1:28" s="87" customFormat="1"/>
    <row r="149" spans="1:28">
      <c r="T149" s="49"/>
      <c r="U149" s="49"/>
      <c r="V149" s="49"/>
      <c r="W149" s="49"/>
      <c r="X149" s="49"/>
      <c r="Y149" s="49"/>
      <c r="Z149" s="49"/>
      <c r="AA149" s="49"/>
      <c r="AB149" s="49"/>
    </row>
    <row r="150" spans="1:28">
      <c r="A150" s="43" t="s">
        <v>133</v>
      </c>
      <c r="B150" s="94"/>
      <c r="C150" s="94"/>
      <c r="D150" s="94"/>
      <c r="E150" s="94"/>
      <c r="F150" s="94"/>
      <c r="G150" s="94"/>
      <c r="H150" s="94"/>
      <c r="I150" s="94"/>
      <c r="J150" s="94"/>
      <c r="K150" s="94"/>
      <c r="L150" s="94"/>
      <c r="M150" s="94"/>
      <c r="N150" s="94"/>
      <c r="T150" s="49"/>
      <c r="U150" s="49"/>
      <c r="V150" s="49"/>
      <c r="W150" s="49"/>
      <c r="X150" s="49"/>
      <c r="Y150" s="49"/>
      <c r="Z150" s="49"/>
      <c r="AA150" s="49"/>
      <c r="AB150" s="49"/>
    </row>
    <row r="151" spans="1:28">
      <c r="A151" s="9" t="s">
        <v>132</v>
      </c>
      <c r="B151" s="94"/>
      <c r="C151" s="94"/>
      <c r="D151" s="94"/>
      <c r="E151" s="94"/>
      <c r="F151" s="94"/>
      <c r="G151" s="94"/>
      <c r="H151" s="94"/>
      <c r="I151" s="94"/>
      <c r="J151" s="94"/>
      <c r="K151" s="125" t="s">
        <v>131</v>
      </c>
      <c r="L151" s="94"/>
      <c r="M151" s="94"/>
      <c r="N151" s="94"/>
      <c r="T151" s="49"/>
      <c r="U151" s="49"/>
      <c r="V151" s="49"/>
      <c r="W151" s="49"/>
      <c r="X151" s="49"/>
      <c r="Y151" s="49"/>
      <c r="Z151" s="49"/>
      <c r="AA151" s="49"/>
      <c r="AB151" s="49"/>
    </row>
    <row r="152" spans="1:28">
      <c r="A152" s="94"/>
      <c r="B152" s="94"/>
      <c r="C152" s="94"/>
      <c r="D152" s="94"/>
      <c r="E152" s="94"/>
      <c r="F152" s="94"/>
      <c r="G152" s="94"/>
      <c r="H152" s="94"/>
      <c r="I152" s="94"/>
      <c r="J152" s="94"/>
      <c r="K152" s="94"/>
      <c r="L152" s="94"/>
      <c r="M152" s="94"/>
      <c r="N152" s="94"/>
    </row>
    <row r="153" spans="1:28">
      <c r="A153" s="124" t="s">
        <v>130</v>
      </c>
      <c r="B153" s="94"/>
      <c r="C153" s="94"/>
      <c r="D153" s="94"/>
      <c r="E153" s="94"/>
      <c r="F153" s="94"/>
      <c r="G153" s="94"/>
      <c r="H153" s="94"/>
      <c r="I153" s="94"/>
      <c r="J153" s="94"/>
      <c r="K153" s="94"/>
      <c r="L153" s="94"/>
      <c r="M153" s="94"/>
      <c r="N153" s="94"/>
    </row>
    <row r="154" spans="1:28">
      <c r="A154" s="124"/>
      <c r="B154" s="94"/>
      <c r="C154" s="94"/>
      <c r="D154" s="94"/>
      <c r="E154" s="94"/>
      <c r="F154" s="94"/>
      <c r="G154" s="94"/>
      <c r="H154" s="94"/>
      <c r="I154" s="94"/>
      <c r="J154" s="94"/>
      <c r="K154" s="94"/>
      <c r="L154" s="94"/>
      <c r="M154" s="94"/>
      <c r="N154" s="94"/>
    </row>
    <row r="155" spans="1:28" ht="15.6">
      <c r="A155" s="123" t="s">
        <v>129</v>
      </c>
      <c r="B155" s="94"/>
      <c r="C155" s="94"/>
      <c r="D155" s="94"/>
      <c r="E155" s="94"/>
      <c r="F155" s="94"/>
      <c r="G155" s="94"/>
      <c r="H155" s="94"/>
      <c r="I155" s="94"/>
      <c r="J155" s="94"/>
      <c r="K155" s="94"/>
      <c r="L155" s="94"/>
      <c r="M155" s="94"/>
      <c r="N155" s="94"/>
    </row>
    <row r="156" spans="1:28">
      <c r="A156" s="9"/>
      <c r="B156" s="94"/>
      <c r="C156" s="94"/>
      <c r="D156" s="94"/>
      <c r="E156" s="94"/>
      <c r="F156" s="94"/>
      <c r="G156" s="94"/>
      <c r="H156" s="94"/>
      <c r="I156" s="94"/>
      <c r="J156" s="94"/>
      <c r="K156" s="94"/>
      <c r="L156" s="94"/>
      <c r="M156" s="94"/>
      <c r="N156" s="94"/>
    </row>
    <row r="157" spans="1:28" ht="16.2" thickBot="1">
      <c r="A157" s="113" t="s">
        <v>128</v>
      </c>
      <c r="B157" s="94"/>
      <c r="C157" s="94"/>
      <c r="D157" s="94"/>
      <c r="E157" s="94"/>
      <c r="F157" s="94"/>
      <c r="G157" s="94"/>
      <c r="H157" s="94"/>
      <c r="I157" s="94"/>
      <c r="J157" s="94"/>
      <c r="K157" s="94"/>
      <c r="L157" s="94"/>
      <c r="M157" s="94"/>
      <c r="N157" s="94"/>
    </row>
    <row r="158" spans="1:28" ht="14.4" thickBot="1">
      <c r="A158" s="94"/>
      <c r="B158" s="94"/>
      <c r="C158" s="94"/>
      <c r="D158" s="94"/>
      <c r="E158" s="94"/>
      <c r="F158" s="94"/>
      <c r="G158" s="105" t="s">
        <v>121</v>
      </c>
      <c r="H158" s="94"/>
      <c r="I158" s="94"/>
      <c r="J158" s="112" t="s">
        <v>120</v>
      </c>
      <c r="K158" s="91"/>
      <c r="L158" s="111"/>
      <c r="M158" s="94"/>
      <c r="N158" s="94"/>
    </row>
    <row r="159" spans="1:28">
      <c r="A159" s="105"/>
      <c r="B159" s="105"/>
      <c r="C159" s="105" t="s">
        <v>117</v>
      </c>
      <c r="D159" s="105" t="s">
        <v>119</v>
      </c>
      <c r="E159" s="105" t="s">
        <v>118</v>
      </c>
      <c r="F159" s="105" t="s">
        <v>117</v>
      </c>
      <c r="G159" s="105" t="s">
        <v>116</v>
      </c>
      <c r="H159" s="105" t="s">
        <v>115</v>
      </c>
      <c r="I159" s="105"/>
      <c r="J159" s="105" t="s">
        <v>110</v>
      </c>
      <c r="K159" s="105" t="s">
        <v>114</v>
      </c>
      <c r="L159" s="94"/>
      <c r="M159" s="94"/>
      <c r="N159" s="94"/>
    </row>
    <row r="160" spans="1:28">
      <c r="A160" s="110" t="s">
        <v>113</v>
      </c>
      <c r="B160" s="110" t="s">
        <v>112</v>
      </c>
      <c r="C160" s="110" t="s">
        <v>111</v>
      </c>
      <c r="D160" s="110" t="s">
        <v>111</v>
      </c>
      <c r="E160" s="110" t="s">
        <v>111</v>
      </c>
      <c r="F160" s="110" t="s">
        <v>110</v>
      </c>
      <c r="G160" s="110" t="s">
        <v>110</v>
      </c>
      <c r="H160" s="110" t="s">
        <v>110</v>
      </c>
      <c r="I160" s="110" t="s">
        <v>110</v>
      </c>
      <c r="J160" s="110" t="s">
        <v>109</v>
      </c>
      <c r="K160" s="110" t="s">
        <v>108</v>
      </c>
      <c r="L160" s="110" t="s">
        <v>1</v>
      </c>
      <c r="M160" s="94"/>
      <c r="N160" s="94"/>
    </row>
    <row r="161" spans="1:15">
      <c r="A161" s="105" t="s">
        <v>107</v>
      </c>
      <c r="B161" s="105" t="s">
        <v>106</v>
      </c>
      <c r="C161" s="105"/>
      <c r="D161" s="105"/>
      <c r="E161" s="105"/>
      <c r="F161" s="105" t="s">
        <v>105</v>
      </c>
      <c r="G161" s="105" t="s">
        <v>105</v>
      </c>
      <c r="H161" s="105" t="s">
        <v>105</v>
      </c>
      <c r="I161" s="105" t="s">
        <v>105</v>
      </c>
      <c r="J161" s="105" t="s">
        <v>104</v>
      </c>
      <c r="K161" s="105" t="s">
        <v>104</v>
      </c>
      <c r="L161" s="105" t="s">
        <v>104</v>
      </c>
      <c r="M161" s="94"/>
      <c r="N161" s="94"/>
    </row>
    <row r="162" spans="1:15">
      <c r="A162" s="94"/>
      <c r="B162" s="94"/>
      <c r="C162" s="94"/>
      <c r="D162" s="94"/>
      <c r="E162" s="94"/>
      <c r="F162" s="94"/>
      <c r="G162" s="94"/>
      <c r="H162" s="94"/>
      <c r="I162" s="94"/>
      <c r="J162" s="94"/>
      <c r="K162" s="94"/>
      <c r="L162" s="94"/>
      <c r="M162" s="94"/>
      <c r="N162" s="94"/>
    </row>
    <row r="163" spans="1:15">
      <c r="A163" s="94">
        <f>B57</f>
        <v>50</v>
      </c>
      <c r="B163" s="94">
        <f>C57</f>
        <v>50</v>
      </c>
      <c r="C163" s="94">
        <v>1</v>
      </c>
      <c r="D163" s="94">
        <f>'SNB-2017'!I57</f>
        <v>2</v>
      </c>
      <c r="E163" s="109">
        <f>'SNB-2017'!J57</f>
        <v>0</v>
      </c>
      <c r="F163" s="108" t="e">
        <f t="shared" ref="F163:F180" si="2">(C163*$D$142)+(D163*$D$143)</f>
        <v>#REF!</v>
      </c>
      <c r="G163" s="108" t="e">
        <f t="shared" ref="G163:G180" si="3">$D$144*A163*1000</f>
        <v>#REF!</v>
      </c>
      <c r="H163" s="108" t="e">
        <f t="shared" ref="H163:H180" si="4">E163*$D$141</f>
        <v>#REF!</v>
      </c>
      <c r="I163" s="107" t="e">
        <f t="shared" ref="I163:I180" si="5">F163+G163+H163</f>
        <v>#REF!</v>
      </c>
      <c r="J163" s="106" t="e">
        <f t="shared" ref="J163:J180" si="6">I163/A163/365/1000</f>
        <v>#REF!</v>
      </c>
      <c r="K163" s="106" t="e">
        <f t="shared" ref="K163:K180" si="7">$D$45</f>
        <v>#REF!</v>
      </c>
      <c r="L163" s="106" t="e">
        <f t="shared" ref="L163:L180" si="8">K163+J163</f>
        <v>#REF!</v>
      </c>
      <c r="M163" s="94"/>
      <c r="N163" s="94"/>
    </row>
    <row r="164" spans="1:15">
      <c r="A164" s="94">
        <f>A163</f>
        <v>50</v>
      </c>
      <c r="B164" s="94">
        <f t="shared" ref="B164:B180" si="9">C58</f>
        <v>100</v>
      </c>
      <c r="C164" s="94">
        <v>1</v>
      </c>
      <c r="D164" s="94">
        <f>'SNB-2017'!I58</f>
        <v>7</v>
      </c>
      <c r="E164" s="109">
        <f>'SNB-2017'!J58</f>
        <v>0.76800000000000002</v>
      </c>
      <c r="F164" s="108" t="e">
        <f t="shared" si="2"/>
        <v>#REF!</v>
      </c>
      <c r="G164" s="108" t="e">
        <f t="shared" si="3"/>
        <v>#REF!</v>
      </c>
      <c r="H164" s="108" t="e">
        <f t="shared" si="4"/>
        <v>#REF!</v>
      </c>
      <c r="I164" s="107" t="e">
        <f t="shared" si="5"/>
        <v>#REF!</v>
      </c>
      <c r="J164" s="106" t="e">
        <f t="shared" si="6"/>
        <v>#REF!</v>
      </c>
      <c r="K164" s="106" t="e">
        <f t="shared" si="7"/>
        <v>#REF!</v>
      </c>
      <c r="L164" s="106" t="e">
        <f t="shared" si="8"/>
        <v>#REF!</v>
      </c>
      <c r="M164" s="94"/>
      <c r="N164" s="122"/>
      <c r="O164" s="121"/>
    </row>
    <row r="165" spans="1:15">
      <c r="A165" s="94">
        <f>A164</f>
        <v>50</v>
      </c>
      <c r="B165" s="94">
        <f t="shared" si="9"/>
        <v>150</v>
      </c>
      <c r="C165" s="94">
        <v>1</v>
      </c>
      <c r="D165" s="94">
        <f>'SNB-2017'!I59</f>
        <v>7</v>
      </c>
      <c r="E165" s="109">
        <f>'SNB-2017'!J59</f>
        <v>2.4320000000000004</v>
      </c>
      <c r="F165" s="108" t="e">
        <f t="shared" si="2"/>
        <v>#REF!</v>
      </c>
      <c r="G165" s="108" t="e">
        <f t="shared" si="3"/>
        <v>#REF!</v>
      </c>
      <c r="H165" s="108" t="e">
        <f t="shared" si="4"/>
        <v>#REF!</v>
      </c>
      <c r="I165" s="107" t="e">
        <f t="shared" si="5"/>
        <v>#REF!</v>
      </c>
      <c r="J165" s="106" t="e">
        <f t="shared" si="6"/>
        <v>#REF!</v>
      </c>
      <c r="K165" s="106" t="e">
        <f t="shared" si="7"/>
        <v>#REF!</v>
      </c>
      <c r="L165" s="106" t="e">
        <f t="shared" si="8"/>
        <v>#REF!</v>
      </c>
      <c r="M165" s="94"/>
      <c r="N165" s="122"/>
      <c r="O165" s="121"/>
    </row>
    <row r="166" spans="1:15">
      <c r="A166" s="94">
        <f>A165</f>
        <v>50</v>
      </c>
      <c r="B166" s="94">
        <f t="shared" si="9"/>
        <v>200</v>
      </c>
      <c r="C166" s="94">
        <v>1</v>
      </c>
      <c r="D166" s="94">
        <f>'SNB-2017'!I60</f>
        <v>7</v>
      </c>
      <c r="E166" s="109">
        <f>'SNB-2017'!J60</f>
        <v>4.4799999999999995</v>
      </c>
      <c r="F166" s="108" t="e">
        <f t="shared" si="2"/>
        <v>#REF!</v>
      </c>
      <c r="G166" s="108" t="e">
        <f t="shared" si="3"/>
        <v>#REF!</v>
      </c>
      <c r="H166" s="108" t="e">
        <f t="shared" si="4"/>
        <v>#REF!</v>
      </c>
      <c r="I166" s="107" t="e">
        <f t="shared" si="5"/>
        <v>#REF!</v>
      </c>
      <c r="J166" s="106" t="e">
        <f t="shared" si="6"/>
        <v>#REF!</v>
      </c>
      <c r="K166" s="106" t="e">
        <f t="shared" si="7"/>
        <v>#REF!</v>
      </c>
      <c r="L166" s="106" t="e">
        <f t="shared" si="8"/>
        <v>#REF!</v>
      </c>
      <c r="M166" s="94"/>
      <c r="N166" s="122"/>
      <c r="O166" s="121"/>
    </row>
    <row r="167" spans="1:15">
      <c r="A167" s="94">
        <f>A166</f>
        <v>50</v>
      </c>
      <c r="B167" s="94">
        <f t="shared" si="9"/>
        <v>250</v>
      </c>
      <c r="C167" s="94">
        <v>1</v>
      </c>
      <c r="D167" s="94">
        <f>'SNB-2017'!I61</f>
        <v>7</v>
      </c>
      <c r="E167" s="109">
        <f>'SNB-2017'!J61</f>
        <v>7.8079999999999998</v>
      </c>
      <c r="F167" s="108" t="e">
        <f t="shared" si="2"/>
        <v>#REF!</v>
      </c>
      <c r="G167" s="108" t="e">
        <f t="shared" si="3"/>
        <v>#REF!</v>
      </c>
      <c r="H167" s="108" t="e">
        <f t="shared" si="4"/>
        <v>#REF!</v>
      </c>
      <c r="I167" s="107" t="e">
        <f t="shared" si="5"/>
        <v>#REF!</v>
      </c>
      <c r="J167" s="106" t="e">
        <f t="shared" si="6"/>
        <v>#REF!</v>
      </c>
      <c r="K167" s="106" t="e">
        <f t="shared" si="7"/>
        <v>#REF!</v>
      </c>
      <c r="L167" s="106" t="e">
        <f t="shared" si="8"/>
        <v>#REF!</v>
      </c>
      <c r="M167" s="94"/>
      <c r="N167" s="122"/>
      <c r="O167" s="121"/>
    </row>
    <row r="168" spans="1:15">
      <c r="A168" s="94">
        <f>A167</f>
        <v>50</v>
      </c>
      <c r="B168" s="94">
        <f t="shared" si="9"/>
        <v>300</v>
      </c>
      <c r="C168" s="94">
        <v>1</v>
      </c>
      <c r="D168" s="94">
        <f>'SNB-2017'!I62</f>
        <v>7</v>
      </c>
      <c r="E168" s="109">
        <f>'SNB-2017'!J62</f>
        <v>12.938000000000001</v>
      </c>
      <c r="F168" s="108" t="e">
        <f t="shared" si="2"/>
        <v>#REF!</v>
      </c>
      <c r="G168" s="108" t="e">
        <f t="shared" si="3"/>
        <v>#REF!</v>
      </c>
      <c r="H168" s="108" t="e">
        <f t="shared" si="4"/>
        <v>#REF!</v>
      </c>
      <c r="I168" s="107" t="e">
        <f t="shared" si="5"/>
        <v>#REF!</v>
      </c>
      <c r="J168" s="106" t="e">
        <f t="shared" si="6"/>
        <v>#REF!</v>
      </c>
      <c r="K168" s="106" t="e">
        <f t="shared" si="7"/>
        <v>#REF!</v>
      </c>
      <c r="L168" s="106" t="e">
        <f t="shared" si="8"/>
        <v>#REF!</v>
      </c>
      <c r="M168" s="94"/>
      <c r="N168" s="122"/>
      <c r="O168" s="121"/>
    </row>
    <row r="169" spans="1:15">
      <c r="A169" s="94">
        <f>B63</f>
        <v>100</v>
      </c>
      <c r="B169" s="94">
        <f t="shared" si="9"/>
        <v>100</v>
      </c>
      <c r="C169" s="94">
        <v>1</v>
      </c>
      <c r="D169" s="94">
        <f>'SNB-2017'!I63</f>
        <v>7</v>
      </c>
      <c r="E169" s="109">
        <f>'SNB-2017'!J63</f>
        <v>0.76800000000000002</v>
      </c>
      <c r="F169" s="108" t="e">
        <f t="shared" si="2"/>
        <v>#REF!</v>
      </c>
      <c r="G169" s="108" t="e">
        <f t="shared" si="3"/>
        <v>#REF!</v>
      </c>
      <c r="H169" s="108" t="e">
        <f t="shared" si="4"/>
        <v>#REF!</v>
      </c>
      <c r="I169" s="107" t="e">
        <f t="shared" si="5"/>
        <v>#REF!</v>
      </c>
      <c r="J169" s="106" t="e">
        <f t="shared" si="6"/>
        <v>#REF!</v>
      </c>
      <c r="K169" s="106" t="e">
        <f t="shared" si="7"/>
        <v>#REF!</v>
      </c>
      <c r="L169" s="106" t="e">
        <f t="shared" si="8"/>
        <v>#REF!</v>
      </c>
      <c r="M169" s="94"/>
      <c r="N169" s="122"/>
      <c r="O169" s="121"/>
    </row>
    <row r="170" spans="1:15">
      <c r="A170" s="94">
        <f>A169</f>
        <v>100</v>
      </c>
      <c r="B170" s="94">
        <f t="shared" si="9"/>
        <v>150</v>
      </c>
      <c r="C170" s="94">
        <v>1</v>
      </c>
      <c r="D170" s="94">
        <f>'SNB-2017'!I64</f>
        <v>7</v>
      </c>
      <c r="E170" s="109">
        <f>'SNB-2017'!J64</f>
        <v>2.5600000000000005</v>
      </c>
      <c r="F170" s="108" t="e">
        <f t="shared" si="2"/>
        <v>#REF!</v>
      </c>
      <c r="G170" s="108" t="e">
        <f t="shared" si="3"/>
        <v>#REF!</v>
      </c>
      <c r="H170" s="108" t="e">
        <f t="shared" si="4"/>
        <v>#REF!</v>
      </c>
      <c r="I170" s="107" t="e">
        <f t="shared" si="5"/>
        <v>#REF!</v>
      </c>
      <c r="J170" s="106" t="e">
        <f t="shared" si="6"/>
        <v>#REF!</v>
      </c>
      <c r="K170" s="106" t="e">
        <f t="shared" si="7"/>
        <v>#REF!</v>
      </c>
      <c r="L170" s="106" t="e">
        <f t="shared" si="8"/>
        <v>#REF!</v>
      </c>
      <c r="M170" s="94"/>
      <c r="N170" s="122"/>
      <c r="O170" s="121"/>
    </row>
    <row r="171" spans="1:15">
      <c r="A171" s="94">
        <f>A170</f>
        <v>100</v>
      </c>
      <c r="B171" s="94">
        <f t="shared" si="9"/>
        <v>200</v>
      </c>
      <c r="C171" s="94">
        <v>1</v>
      </c>
      <c r="D171" s="94">
        <f>'SNB-2017'!I65</f>
        <v>7</v>
      </c>
      <c r="E171" s="109">
        <f>'SNB-2017'!J65</f>
        <v>5.120000000000001</v>
      </c>
      <c r="F171" s="108" t="e">
        <f t="shared" si="2"/>
        <v>#REF!</v>
      </c>
      <c r="G171" s="108" t="e">
        <f t="shared" si="3"/>
        <v>#REF!</v>
      </c>
      <c r="H171" s="108" t="e">
        <f t="shared" si="4"/>
        <v>#REF!</v>
      </c>
      <c r="I171" s="107" t="e">
        <f t="shared" si="5"/>
        <v>#REF!</v>
      </c>
      <c r="J171" s="106" t="e">
        <f t="shared" si="6"/>
        <v>#REF!</v>
      </c>
      <c r="K171" s="106" t="e">
        <f t="shared" si="7"/>
        <v>#REF!</v>
      </c>
      <c r="L171" s="106" t="e">
        <f t="shared" si="8"/>
        <v>#REF!</v>
      </c>
      <c r="M171" s="94"/>
      <c r="N171" s="122"/>
      <c r="O171" s="121"/>
    </row>
    <row r="172" spans="1:15">
      <c r="A172" s="94">
        <f>A171</f>
        <v>100</v>
      </c>
      <c r="B172" s="94">
        <f t="shared" si="9"/>
        <v>250</v>
      </c>
      <c r="C172" s="94">
        <v>1</v>
      </c>
      <c r="D172" s="94">
        <f>'SNB-2017'!I66</f>
        <v>7</v>
      </c>
      <c r="E172" s="109">
        <f>'SNB-2017'!J66</f>
        <v>9.9840000000000018</v>
      </c>
      <c r="F172" s="108" t="e">
        <f t="shared" si="2"/>
        <v>#REF!</v>
      </c>
      <c r="G172" s="108" t="e">
        <f t="shared" si="3"/>
        <v>#REF!</v>
      </c>
      <c r="H172" s="108" t="e">
        <f t="shared" si="4"/>
        <v>#REF!</v>
      </c>
      <c r="I172" s="107" t="e">
        <f t="shared" si="5"/>
        <v>#REF!</v>
      </c>
      <c r="J172" s="106" t="e">
        <f t="shared" si="6"/>
        <v>#REF!</v>
      </c>
      <c r="K172" s="106" t="e">
        <f t="shared" si="7"/>
        <v>#REF!</v>
      </c>
      <c r="L172" s="106" t="e">
        <f t="shared" si="8"/>
        <v>#REF!</v>
      </c>
      <c r="M172" s="94"/>
      <c r="N172" s="122"/>
      <c r="O172" s="121"/>
    </row>
    <row r="173" spans="1:15">
      <c r="A173" s="94">
        <f>A172</f>
        <v>100</v>
      </c>
      <c r="B173" s="94">
        <f t="shared" si="9"/>
        <v>300</v>
      </c>
      <c r="C173" s="94">
        <v>1</v>
      </c>
      <c r="D173" s="94">
        <f>'SNB-2017'!I67</f>
        <v>7</v>
      </c>
      <c r="E173" s="109">
        <f>'SNB-2017'!J67</f>
        <v>13.49</v>
      </c>
      <c r="F173" s="108" t="e">
        <f t="shared" si="2"/>
        <v>#REF!</v>
      </c>
      <c r="G173" s="108" t="e">
        <f t="shared" si="3"/>
        <v>#REF!</v>
      </c>
      <c r="H173" s="108" t="e">
        <f t="shared" si="4"/>
        <v>#REF!</v>
      </c>
      <c r="I173" s="107" t="e">
        <f t="shared" si="5"/>
        <v>#REF!</v>
      </c>
      <c r="J173" s="106" t="e">
        <f t="shared" si="6"/>
        <v>#REF!</v>
      </c>
      <c r="K173" s="106" t="e">
        <f t="shared" si="7"/>
        <v>#REF!</v>
      </c>
      <c r="L173" s="106" t="e">
        <f t="shared" si="8"/>
        <v>#REF!</v>
      </c>
      <c r="M173" s="94"/>
      <c r="N173" s="122"/>
      <c r="O173" s="121"/>
    </row>
    <row r="174" spans="1:15">
      <c r="A174" s="94">
        <f>B68</f>
        <v>150</v>
      </c>
      <c r="B174" s="94">
        <f t="shared" si="9"/>
        <v>150</v>
      </c>
      <c r="C174" s="94">
        <v>1</v>
      </c>
      <c r="D174" s="94">
        <f>'SNB-2017'!I68</f>
        <v>7</v>
      </c>
      <c r="E174" s="109">
        <f>'SNB-2017'!J68</f>
        <v>2.5600000000000005</v>
      </c>
      <c r="F174" s="108" t="e">
        <f t="shared" si="2"/>
        <v>#REF!</v>
      </c>
      <c r="G174" s="108" t="e">
        <f t="shared" si="3"/>
        <v>#REF!</v>
      </c>
      <c r="H174" s="108" t="e">
        <f t="shared" si="4"/>
        <v>#REF!</v>
      </c>
      <c r="I174" s="107" t="e">
        <f t="shared" si="5"/>
        <v>#REF!</v>
      </c>
      <c r="J174" s="106" t="e">
        <f t="shared" si="6"/>
        <v>#REF!</v>
      </c>
      <c r="K174" s="106" t="e">
        <f t="shared" si="7"/>
        <v>#REF!</v>
      </c>
      <c r="L174" s="106" t="e">
        <f t="shared" si="8"/>
        <v>#REF!</v>
      </c>
      <c r="M174" s="94"/>
      <c r="N174" s="122"/>
      <c r="O174" s="121"/>
    </row>
    <row r="175" spans="1:15">
      <c r="A175" s="94">
        <f>A174</f>
        <v>150</v>
      </c>
      <c r="B175" s="94">
        <f t="shared" si="9"/>
        <v>200</v>
      </c>
      <c r="C175" s="94">
        <v>1</v>
      </c>
      <c r="D175" s="94">
        <f>'SNB-2017'!I69</f>
        <v>7</v>
      </c>
      <c r="E175" s="109">
        <f>'SNB-2017'!J69</f>
        <v>5.120000000000001</v>
      </c>
      <c r="F175" s="108" t="e">
        <f t="shared" si="2"/>
        <v>#REF!</v>
      </c>
      <c r="G175" s="108" t="e">
        <f t="shared" si="3"/>
        <v>#REF!</v>
      </c>
      <c r="H175" s="108" t="e">
        <f t="shared" si="4"/>
        <v>#REF!</v>
      </c>
      <c r="I175" s="107" t="e">
        <f t="shared" si="5"/>
        <v>#REF!</v>
      </c>
      <c r="J175" s="106" t="e">
        <f t="shared" si="6"/>
        <v>#REF!</v>
      </c>
      <c r="K175" s="106" t="e">
        <f t="shared" si="7"/>
        <v>#REF!</v>
      </c>
      <c r="L175" s="106" t="e">
        <f t="shared" si="8"/>
        <v>#REF!</v>
      </c>
      <c r="M175" s="94"/>
      <c r="N175" s="122"/>
      <c r="O175" s="121"/>
    </row>
    <row r="176" spans="1:15">
      <c r="A176" s="94">
        <f>A175</f>
        <v>150</v>
      </c>
      <c r="B176" s="94">
        <f t="shared" si="9"/>
        <v>250</v>
      </c>
      <c r="C176" s="94">
        <v>1</v>
      </c>
      <c r="D176" s="94">
        <f>'SNB-2017'!I70</f>
        <v>7</v>
      </c>
      <c r="E176" s="109">
        <f>'SNB-2017'!J70</f>
        <v>10.496</v>
      </c>
      <c r="F176" s="108" t="e">
        <f t="shared" si="2"/>
        <v>#REF!</v>
      </c>
      <c r="G176" s="108" t="e">
        <f t="shared" si="3"/>
        <v>#REF!</v>
      </c>
      <c r="H176" s="108" t="e">
        <f t="shared" si="4"/>
        <v>#REF!</v>
      </c>
      <c r="I176" s="107" t="e">
        <f t="shared" si="5"/>
        <v>#REF!</v>
      </c>
      <c r="J176" s="106" t="e">
        <f t="shared" si="6"/>
        <v>#REF!</v>
      </c>
      <c r="K176" s="106" t="e">
        <f t="shared" si="7"/>
        <v>#REF!</v>
      </c>
      <c r="L176" s="106" t="e">
        <f t="shared" si="8"/>
        <v>#REF!</v>
      </c>
      <c r="M176" s="94"/>
      <c r="N176" s="122"/>
      <c r="O176" s="121"/>
    </row>
    <row r="177" spans="1:15">
      <c r="A177" s="94">
        <f>A176</f>
        <v>150</v>
      </c>
      <c r="B177" s="94">
        <f t="shared" si="9"/>
        <v>300</v>
      </c>
      <c r="C177" s="94">
        <v>1</v>
      </c>
      <c r="D177" s="94">
        <f>'SNB-2017'!I71</f>
        <v>7</v>
      </c>
      <c r="E177" s="109">
        <f>'SNB-2017'!J71</f>
        <v>13.628</v>
      </c>
      <c r="F177" s="108" t="e">
        <f t="shared" si="2"/>
        <v>#REF!</v>
      </c>
      <c r="G177" s="108" t="e">
        <f t="shared" si="3"/>
        <v>#REF!</v>
      </c>
      <c r="H177" s="108" t="e">
        <f t="shared" si="4"/>
        <v>#REF!</v>
      </c>
      <c r="I177" s="107" t="e">
        <f t="shared" si="5"/>
        <v>#REF!</v>
      </c>
      <c r="J177" s="106" t="e">
        <f t="shared" si="6"/>
        <v>#REF!</v>
      </c>
      <c r="K177" s="106" t="e">
        <f t="shared" si="7"/>
        <v>#REF!</v>
      </c>
      <c r="L177" s="106" t="e">
        <f t="shared" si="8"/>
        <v>#REF!</v>
      </c>
      <c r="M177" s="94"/>
      <c r="N177" s="122"/>
      <c r="O177" s="121"/>
    </row>
    <row r="178" spans="1:15">
      <c r="A178" s="94">
        <f>B72</f>
        <v>200</v>
      </c>
      <c r="B178" s="94">
        <f t="shared" si="9"/>
        <v>200</v>
      </c>
      <c r="C178" s="94">
        <v>1</v>
      </c>
      <c r="D178" s="94">
        <f>'SNB-2017'!I72</f>
        <v>7</v>
      </c>
      <c r="E178" s="109">
        <f>'SNB-2017'!J72</f>
        <v>5.120000000000001</v>
      </c>
      <c r="F178" s="108" t="e">
        <f t="shared" si="2"/>
        <v>#REF!</v>
      </c>
      <c r="G178" s="108" t="e">
        <f t="shared" si="3"/>
        <v>#REF!</v>
      </c>
      <c r="H178" s="108" t="e">
        <f t="shared" si="4"/>
        <v>#REF!</v>
      </c>
      <c r="I178" s="107" t="e">
        <f t="shared" si="5"/>
        <v>#REF!</v>
      </c>
      <c r="J178" s="106" t="e">
        <f t="shared" si="6"/>
        <v>#REF!</v>
      </c>
      <c r="K178" s="106" t="e">
        <f t="shared" si="7"/>
        <v>#REF!</v>
      </c>
      <c r="L178" s="106" t="e">
        <f t="shared" si="8"/>
        <v>#REF!</v>
      </c>
      <c r="M178" s="94"/>
      <c r="N178" s="122"/>
      <c r="O178" s="121"/>
    </row>
    <row r="179" spans="1:15">
      <c r="A179" s="94">
        <f>A178</f>
        <v>200</v>
      </c>
      <c r="B179" s="94">
        <f t="shared" si="9"/>
        <v>250</v>
      </c>
      <c r="C179" s="94">
        <v>1</v>
      </c>
      <c r="D179" s="94">
        <f>'SNB-2017'!I73</f>
        <v>7</v>
      </c>
      <c r="E179" s="109">
        <f>'SNB-2017'!J73</f>
        <v>10.496</v>
      </c>
      <c r="F179" s="108" t="e">
        <f t="shared" si="2"/>
        <v>#REF!</v>
      </c>
      <c r="G179" s="108" t="e">
        <f t="shared" si="3"/>
        <v>#REF!</v>
      </c>
      <c r="H179" s="108" t="e">
        <f t="shared" si="4"/>
        <v>#REF!</v>
      </c>
      <c r="I179" s="107" t="e">
        <f t="shared" si="5"/>
        <v>#REF!</v>
      </c>
      <c r="J179" s="106" t="e">
        <f t="shared" si="6"/>
        <v>#REF!</v>
      </c>
      <c r="K179" s="106" t="e">
        <f t="shared" si="7"/>
        <v>#REF!</v>
      </c>
      <c r="L179" s="106" t="e">
        <f t="shared" si="8"/>
        <v>#REF!</v>
      </c>
      <c r="M179" s="94"/>
      <c r="N179" s="122"/>
      <c r="O179" s="121"/>
    </row>
    <row r="180" spans="1:15">
      <c r="A180" s="94">
        <f>A179</f>
        <v>200</v>
      </c>
      <c r="B180" s="94">
        <f t="shared" si="9"/>
        <v>300</v>
      </c>
      <c r="C180" s="94">
        <v>1</v>
      </c>
      <c r="D180" s="94">
        <f>'SNB-2017'!I74</f>
        <v>7</v>
      </c>
      <c r="E180" s="109">
        <f>'SNB-2017'!J74</f>
        <v>13.766000000000002</v>
      </c>
      <c r="F180" s="108" t="e">
        <f t="shared" si="2"/>
        <v>#REF!</v>
      </c>
      <c r="G180" s="108" t="e">
        <f t="shared" si="3"/>
        <v>#REF!</v>
      </c>
      <c r="H180" s="108" t="e">
        <f t="shared" si="4"/>
        <v>#REF!</v>
      </c>
      <c r="I180" s="107" t="e">
        <f t="shared" si="5"/>
        <v>#REF!</v>
      </c>
      <c r="J180" s="106" t="e">
        <f t="shared" si="6"/>
        <v>#REF!</v>
      </c>
      <c r="K180" s="106" t="e">
        <f t="shared" si="7"/>
        <v>#REF!</v>
      </c>
      <c r="L180" s="106" t="e">
        <f t="shared" si="8"/>
        <v>#REF!</v>
      </c>
      <c r="M180" s="94"/>
      <c r="N180" s="122"/>
      <c r="O180" s="121"/>
    </row>
    <row r="181" spans="1:15">
      <c r="A181" s="120"/>
      <c r="B181" s="120"/>
      <c r="C181" s="120"/>
      <c r="D181" s="120"/>
      <c r="E181" s="119"/>
      <c r="F181" s="118"/>
      <c r="G181" s="117"/>
      <c r="H181" s="117"/>
      <c r="I181" s="116"/>
      <c r="J181" s="115"/>
      <c r="K181" s="115"/>
      <c r="L181" s="115"/>
      <c r="M181" s="94"/>
      <c r="N181" s="94"/>
    </row>
    <row r="182" spans="1:15">
      <c r="A182" s="120"/>
      <c r="B182" s="120"/>
      <c r="C182" s="120"/>
      <c r="D182" s="120"/>
      <c r="E182" s="119"/>
      <c r="F182" s="118"/>
      <c r="G182" s="117"/>
      <c r="H182" s="117"/>
      <c r="I182" s="116"/>
      <c r="J182" s="115"/>
      <c r="K182" s="115"/>
      <c r="L182" s="115"/>
      <c r="M182" s="94"/>
      <c r="N182" s="94"/>
    </row>
    <row r="183" spans="1:15">
      <c r="A183" s="120"/>
      <c r="B183" s="120"/>
      <c r="C183" s="120"/>
      <c r="D183" s="120"/>
      <c r="E183" s="119"/>
      <c r="F183" s="118"/>
      <c r="G183" s="117"/>
      <c r="H183" s="117"/>
      <c r="I183" s="116"/>
      <c r="J183" s="115"/>
      <c r="K183" s="115"/>
      <c r="L183" s="115"/>
      <c r="M183" s="94"/>
      <c r="N183" s="94"/>
    </row>
    <row r="184" spans="1:15">
      <c r="A184" s="94"/>
      <c r="B184" s="94"/>
      <c r="C184" s="94"/>
      <c r="D184" s="94"/>
      <c r="E184" s="94"/>
      <c r="F184" s="94"/>
      <c r="G184" s="94"/>
      <c r="H184" s="94"/>
      <c r="I184" s="94"/>
      <c r="J184" s="94"/>
      <c r="K184" s="94"/>
      <c r="L184" s="94"/>
      <c r="M184" s="94"/>
      <c r="N184" s="94"/>
    </row>
    <row r="185" spans="1:15">
      <c r="A185" s="94"/>
      <c r="B185" s="94"/>
      <c r="C185" s="94"/>
      <c r="D185" s="94"/>
      <c r="E185" s="94"/>
      <c r="F185" s="94"/>
      <c r="G185" s="94"/>
      <c r="H185" s="94"/>
      <c r="I185" s="94"/>
      <c r="J185" s="104" t="s">
        <v>127</v>
      </c>
      <c r="K185" s="94"/>
      <c r="L185" s="103" t="e">
        <f>AVERAGE(L163:L180)</f>
        <v>#REF!</v>
      </c>
      <c r="M185" s="102" t="s">
        <v>126</v>
      </c>
      <c r="N185" s="114"/>
    </row>
    <row r="186" spans="1:15">
      <c r="A186" s="94"/>
      <c r="B186" s="94"/>
      <c r="C186" s="94"/>
      <c r="D186" s="94"/>
      <c r="E186" s="94"/>
      <c r="F186" s="94"/>
      <c r="G186" s="94"/>
      <c r="H186" s="94"/>
      <c r="I186" s="94"/>
      <c r="J186" s="94"/>
      <c r="K186" s="94"/>
      <c r="L186" s="94"/>
      <c r="M186" s="94"/>
      <c r="N186" s="94"/>
    </row>
    <row r="187" spans="1:15" ht="16.2" thickBot="1">
      <c r="A187" s="113" t="s">
        <v>125</v>
      </c>
      <c r="B187" s="94"/>
      <c r="C187" s="94"/>
      <c r="D187" s="94"/>
      <c r="E187" s="94"/>
      <c r="F187" s="94"/>
      <c r="G187" s="94"/>
      <c r="H187" s="94"/>
      <c r="I187" s="94"/>
      <c r="J187" s="94"/>
      <c r="K187" s="94"/>
      <c r="L187" s="94"/>
      <c r="M187" s="94"/>
      <c r="N187" s="94"/>
    </row>
    <row r="188" spans="1:15" ht="14.4" thickBot="1">
      <c r="A188" s="94"/>
      <c r="B188" s="94"/>
      <c r="C188" s="94"/>
      <c r="D188" s="94"/>
      <c r="E188" s="94"/>
      <c r="F188" s="94"/>
      <c r="G188" s="105" t="s">
        <v>121</v>
      </c>
      <c r="H188" s="94"/>
      <c r="I188" s="94"/>
      <c r="J188" s="112" t="s">
        <v>120</v>
      </c>
      <c r="K188" s="91"/>
      <c r="L188" s="111"/>
      <c r="M188" s="94"/>
      <c r="N188" s="94"/>
    </row>
    <row r="189" spans="1:15">
      <c r="A189" s="105"/>
      <c r="B189" s="105"/>
      <c r="C189" s="105" t="s">
        <v>117</v>
      </c>
      <c r="D189" s="105" t="s">
        <v>119</v>
      </c>
      <c r="E189" s="105" t="s">
        <v>118</v>
      </c>
      <c r="F189" s="105" t="s">
        <v>117</v>
      </c>
      <c r="G189" s="105" t="s">
        <v>116</v>
      </c>
      <c r="H189" s="105" t="s">
        <v>115</v>
      </c>
      <c r="I189" s="105"/>
      <c r="J189" s="105" t="s">
        <v>110</v>
      </c>
      <c r="K189" s="105" t="s">
        <v>114</v>
      </c>
      <c r="L189" s="94"/>
      <c r="M189" s="94"/>
      <c r="N189" s="94"/>
    </row>
    <row r="190" spans="1:15">
      <c r="A190" s="110" t="s">
        <v>113</v>
      </c>
      <c r="B190" s="110" t="s">
        <v>112</v>
      </c>
      <c r="C190" s="110" t="s">
        <v>111</v>
      </c>
      <c r="D190" s="110" t="s">
        <v>111</v>
      </c>
      <c r="E190" s="110" t="s">
        <v>111</v>
      </c>
      <c r="F190" s="110" t="s">
        <v>110</v>
      </c>
      <c r="G190" s="110" t="s">
        <v>110</v>
      </c>
      <c r="H190" s="110" t="s">
        <v>110</v>
      </c>
      <c r="I190" s="110" t="s">
        <v>110</v>
      </c>
      <c r="J190" s="110" t="s">
        <v>109</v>
      </c>
      <c r="K190" s="110" t="s">
        <v>108</v>
      </c>
      <c r="L190" s="110" t="s">
        <v>1</v>
      </c>
      <c r="M190" s="94"/>
      <c r="N190" s="94"/>
    </row>
    <row r="191" spans="1:15">
      <c r="A191" s="105" t="s">
        <v>107</v>
      </c>
      <c r="B191" s="105" t="s">
        <v>106</v>
      </c>
      <c r="C191" s="105"/>
      <c r="D191" s="105"/>
      <c r="E191" s="105"/>
      <c r="F191" s="105" t="s">
        <v>105</v>
      </c>
      <c r="G191" s="105" t="s">
        <v>105</v>
      </c>
      <c r="H191" s="105" t="s">
        <v>105</v>
      </c>
      <c r="I191" s="105" t="s">
        <v>105</v>
      </c>
      <c r="J191" s="105" t="s">
        <v>104</v>
      </c>
      <c r="K191" s="105" t="s">
        <v>104</v>
      </c>
      <c r="L191" s="105" t="s">
        <v>104</v>
      </c>
      <c r="M191" s="94"/>
      <c r="N191" s="94"/>
    </row>
    <row r="192" spans="1:15">
      <c r="A192" s="94"/>
      <c r="B192" s="94"/>
      <c r="C192" s="94"/>
      <c r="D192" s="94"/>
      <c r="E192" s="94"/>
      <c r="F192" s="94"/>
      <c r="G192" s="94"/>
      <c r="H192" s="94"/>
      <c r="I192" s="94"/>
      <c r="J192" s="94"/>
      <c r="K192" s="94"/>
      <c r="L192" s="94"/>
      <c r="M192" s="94"/>
      <c r="N192" s="94"/>
    </row>
    <row r="193" spans="1:14">
      <c r="A193" s="94">
        <v>50</v>
      </c>
      <c r="B193" s="94">
        <v>50</v>
      </c>
      <c r="C193" s="107">
        <f>0</f>
        <v>0</v>
      </c>
      <c r="D193" s="107">
        <f>'SNB-2017'!I87</f>
        <v>0</v>
      </c>
      <c r="E193" s="109">
        <f>'SNB-2017'!F83</f>
        <v>45.400000000000006</v>
      </c>
      <c r="F193" s="108" t="e">
        <f>(C193*$D$142)+(D193*$D$143)</f>
        <v>#REF!</v>
      </c>
      <c r="G193" s="108" t="e">
        <f>$D$144*A193*1000</f>
        <v>#REF!</v>
      </c>
      <c r="H193" s="108" t="e">
        <f>E193*$D$141</f>
        <v>#REF!</v>
      </c>
      <c r="I193" s="107" t="e">
        <f>F193+G193+H193</f>
        <v>#REF!</v>
      </c>
      <c r="J193" s="106" t="e">
        <f>I193/A193/365/1000</f>
        <v>#REF!</v>
      </c>
      <c r="K193" s="106" t="e">
        <f>$D$45</f>
        <v>#REF!</v>
      </c>
      <c r="L193" s="106" t="e">
        <f>K193+J193</f>
        <v>#REF!</v>
      </c>
      <c r="M193" s="94"/>
      <c r="N193" s="94"/>
    </row>
    <row r="194" spans="1:14">
      <c r="A194" s="94">
        <v>100</v>
      </c>
      <c r="B194" s="94">
        <v>100</v>
      </c>
      <c r="C194" s="107">
        <f>0</f>
        <v>0</v>
      </c>
      <c r="D194" s="107">
        <f>'SNB-2017'!I88</f>
        <v>0</v>
      </c>
      <c r="E194" s="109">
        <f>'SNB-2017'!F88</f>
        <v>78.2</v>
      </c>
      <c r="F194" s="108" t="e">
        <f>(C194*$D$142)+(D194*$D$143)</f>
        <v>#REF!</v>
      </c>
      <c r="G194" s="108" t="e">
        <f>$D$144*A194*1000</f>
        <v>#REF!</v>
      </c>
      <c r="H194" s="108" t="e">
        <f>E194*$D$141</f>
        <v>#REF!</v>
      </c>
      <c r="I194" s="107" t="e">
        <f>F194+G194+H194</f>
        <v>#REF!</v>
      </c>
      <c r="J194" s="106" t="e">
        <f>I194/A194/365/1000</f>
        <v>#REF!</v>
      </c>
      <c r="K194" s="106" t="e">
        <f>$D$45</f>
        <v>#REF!</v>
      </c>
      <c r="L194" s="106" t="e">
        <f>K194+J194</f>
        <v>#REF!</v>
      </c>
      <c r="M194" s="94"/>
      <c r="N194" s="94"/>
    </row>
    <row r="195" spans="1:14">
      <c r="A195" s="94">
        <v>150</v>
      </c>
      <c r="B195" s="94">
        <v>150</v>
      </c>
      <c r="C195" s="107">
        <f>0</f>
        <v>0</v>
      </c>
      <c r="D195" s="107">
        <f>'SNB-2017'!I89</f>
        <v>0</v>
      </c>
      <c r="E195" s="109">
        <f>'SNB-2017'!F92</f>
        <v>123.4</v>
      </c>
      <c r="F195" s="108" t="e">
        <f>(C195*$D$142)+(D195*$D$143)</f>
        <v>#REF!</v>
      </c>
      <c r="G195" s="108" t="e">
        <f>$D$144*A195*1000</f>
        <v>#REF!</v>
      </c>
      <c r="H195" s="108" t="e">
        <f>E195*$D$141</f>
        <v>#REF!</v>
      </c>
      <c r="I195" s="107" t="e">
        <f>F195+G195+H195</f>
        <v>#REF!</v>
      </c>
      <c r="J195" s="106" t="e">
        <f>I195/A195/365/1000</f>
        <v>#REF!</v>
      </c>
      <c r="K195" s="106" t="e">
        <f>$D$45</f>
        <v>#REF!</v>
      </c>
      <c r="L195" s="106" t="e">
        <f>K195+J195</f>
        <v>#REF!</v>
      </c>
      <c r="M195" s="94"/>
      <c r="N195" s="94"/>
    </row>
    <row r="196" spans="1:14">
      <c r="A196" s="94">
        <v>200</v>
      </c>
      <c r="B196" s="94">
        <v>200</v>
      </c>
      <c r="C196" s="107">
        <f>0</f>
        <v>0</v>
      </c>
      <c r="D196" s="107">
        <f>'SNB-2017'!I90</f>
        <v>0</v>
      </c>
      <c r="E196" s="109">
        <f>'SNB-2017'!F97</f>
        <v>123.5</v>
      </c>
      <c r="F196" s="108" t="e">
        <f>(C196*$D$142)+(D196*$D$143)</f>
        <v>#REF!</v>
      </c>
      <c r="G196" s="108" t="e">
        <f>$D$144*A196*1000</f>
        <v>#REF!</v>
      </c>
      <c r="H196" s="108" t="e">
        <f>E196*$D$141</f>
        <v>#REF!</v>
      </c>
      <c r="I196" s="107" t="e">
        <f>F196+G196+H196</f>
        <v>#REF!</v>
      </c>
      <c r="J196" s="106" t="e">
        <f>I196/A196/365/1000</f>
        <v>#REF!</v>
      </c>
      <c r="K196" s="106" t="e">
        <f>$D$45</f>
        <v>#REF!</v>
      </c>
      <c r="L196" s="106" t="e">
        <f>K196+J196</f>
        <v>#REF!</v>
      </c>
      <c r="M196" s="94"/>
      <c r="N196" s="94"/>
    </row>
    <row r="197" spans="1:14">
      <c r="A197" s="94"/>
      <c r="B197" s="94"/>
      <c r="C197" s="94"/>
      <c r="D197" s="94"/>
      <c r="E197" s="94"/>
      <c r="F197" s="94"/>
      <c r="G197" s="94"/>
      <c r="H197" s="94"/>
      <c r="I197" s="94"/>
      <c r="J197" s="94"/>
      <c r="K197" s="94"/>
      <c r="L197" s="94"/>
      <c r="M197" s="94"/>
      <c r="N197" s="94"/>
    </row>
    <row r="198" spans="1:14">
      <c r="A198" s="94"/>
      <c r="B198" s="94"/>
      <c r="C198" s="94"/>
      <c r="D198" s="94"/>
      <c r="E198" s="94"/>
      <c r="F198" s="94"/>
      <c r="G198" s="94"/>
      <c r="H198" s="94"/>
      <c r="I198" s="94"/>
      <c r="J198" s="104" t="s">
        <v>124</v>
      </c>
      <c r="K198" s="94"/>
      <c r="L198" s="103" t="e">
        <f>AVERAGE(L193:L196)</f>
        <v>#REF!</v>
      </c>
      <c r="M198" s="94" t="s">
        <v>123</v>
      </c>
      <c r="N198" s="94"/>
    </row>
    <row r="199" spans="1:14">
      <c r="A199" s="94"/>
      <c r="B199" s="94"/>
      <c r="C199" s="94"/>
      <c r="D199" s="94"/>
      <c r="E199" s="94"/>
      <c r="F199" s="94"/>
      <c r="G199" s="94"/>
      <c r="H199" s="94"/>
      <c r="I199" s="94"/>
      <c r="J199" s="104"/>
      <c r="K199" s="94"/>
      <c r="L199" s="103"/>
      <c r="M199" s="94"/>
      <c r="N199" s="94"/>
    </row>
    <row r="200" spans="1:14">
      <c r="M200" s="94"/>
      <c r="N200" s="94"/>
    </row>
    <row r="201" spans="1:14" ht="16.2" thickBot="1">
      <c r="A201" s="113" t="s">
        <v>122</v>
      </c>
      <c r="B201" s="94"/>
      <c r="C201" s="94"/>
      <c r="D201" s="94"/>
      <c r="E201" s="94"/>
      <c r="F201" s="94"/>
      <c r="G201" s="94"/>
      <c r="H201" s="94"/>
      <c r="I201" s="94"/>
      <c r="J201" s="94"/>
      <c r="K201" s="94"/>
      <c r="L201" s="94"/>
      <c r="M201" s="94"/>
      <c r="N201" s="94"/>
    </row>
    <row r="202" spans="1:14" ht="14.4" thickBot="1">
      <c r="A202" s="94"/>
      <c r="B202" s="94"/>
      <c r="C202" s="94"/>
      <c r="D202" s="94"/>
      <c r="E202" s="94"/>
      <c r="F202" s="94"/>
      <c r="G202" s="105" t="s">
        <v>121</v>
      </c>
      <c r="H202" s="94"/>
      <c r="I202" s="94"/>
      <c r="J202" s="112" t="s">
        <v>120</v>
      </c>
      <c r="K202" s="91"/>
      <c r="L202" s="111"/>
      <c r="M202" s="94"/>
      <c r="N202" s="94"/>
    </row>
    <row r="203" spans="1:14">
      <c r="A203" s="105"/>
      <c r="B203" s="105"/>
      <c r="C203" s="105" t="s">
        <v>117</v>
      </c>
      <c r="D203" s="105" t="s">
        <v>119</v>
      </c>
      <c r="E203" s="105" t="s">
        <v>118</v>
      </c>
      <c r="F203" s="105" t="s">
        <v>117</v>
      </c>
      <c r="G203" s="105" t="s">
        <v>116</v>
      </c>
      <c r="H203" s="105" t="s">
        <v>115</v>
      </c>
      <c r="I203" s="105"/>
      <c r="J203" s="105" t="s">
        <v>110</v>
      </c>
      <c r="K203" s="105" t="s">
        <v>114</v>
      </c>
      <c r="L203" s="94"/>
      <c r="M203" s="94"/>
      <c r="N203" s="94"/>
    </row>
    <row r="204" spans="1:14">
      <c r="A204" s="110" t="s">
        <v>113</v>
      </c>
      <c r="B204" s="110" t="s">
        <v>112</v>
      </c>
      <c r="C204" s="110" t="s">
        <v>111</v>
      </c>
      <c r="D204" s="110" t="s">
        <v>111</v>
      </c>
      <c r="E204" s="110" t="s">
        <v>111</v>
      </c>
      <c r="F204" s="110" t="s">
        <v>110</v>
      </c>
      <c r="G204" s="110" t="s">
        <v>110</v>
      </c>
      <c r="H204" s="110" t="s">
        <v>110</v>
      </c>
      <c r="I204" s="110" t="s">
        <v>110</v>
      </c>
      <c r="J204" s="110" t="s">
        <v>109</v>
      </c>
      <c r="K204" s="110" t="s">
        <v>108</v>
      </c>
      <c r="L204" s="110" t="s">
        <v>1</v>
      </c>
      <c r="M204" s="94"/>
      <c r="N204" s="94"/>
    </row>
    <row r="205" spans="1:14">
      <c r="A205" s="105" t="s">
        <v>107</v>
      </c>
      <c r="B205" s="105" t="s">
        <v>106</v>
      </c>
      <c r="C205" s="105"/>
      <c r="D205" s="105"/>
      <c r="E205" s="105"/>
      <c r="F205" s="105" t="s">
        <v>105</v>
      </c>
      <c r="G205" s="105" t="s">
        <v>105</v>
      </c>
      <c r="H205" s="105" t="s">
        <v>105</v>
      </c>
      <c r="I205" s="105" t="s">
        <v>105</v>
      </c>
      <c r="J205" s="105" t="s">
        <v>104</v>
      </c>
      <c r="K205" s="105" t="s">
        <v>104</v>
      </c>
      <c r="L205" s="105" t="s">
        <v>104</v>
      </c>
      <c r="M205" s="94"/>
      <c r="N205" s="94"/>
    </row>
    <row r="206" spans="1:14">
      <c r="A206" s="94"/>
      <c r="B206" s="94"/>
      <c r="C206" s="94"/>
      <c r="D206" s="94"/>
      <c r="E206" s="94"/>
      <c r="F206" s="94"/>
      <c r="G206" s="94"/>
      <c r="H206" s="94"/>
      <c r="I206" s="94"/>
      <c r="J206" s="94"/>
      <c r="K206" s="94"/>
      <c r="L206" s="94"/>
      <c r="M206" s="94"/>
      <c r="N206" s="94"/>
    </row>
    <row r="207" spans="1:14">
      <c r="A207" s="94">
        <v>50</v>
      </c>
      <c r="B207" s="94">
        <v>50</v>
      </c>
      <c r="C207" s="107">
        <v>1</v>
      </c>
      <c r="D207" s="107">
        <f>'SNB-2017'!F107</f>
        <v>1</v>
      </c>
      <c r="E207" s="109">
        <v>0</v>
      </c>
      <c r="F207" s="108" t="e">
        <f>(C207*$D$142)+(D207*$D$143)</f>
        <v>#REF!</v>
      </c>
      <c r="G207" s="108" t="e">
        <f>$D$144*A207*1000</f>
        <v>#REF!</v>
      </c>
      <c r="H207" s="108" t="e">
        <f>E207*$D$141</f>
        <v>#REF!</v>
      </c>
      <c r="I207" s="107" t="e">
        <f>F207+G207+H207</f>
        <v>#REF!</v>
      </c>
      <c r="J207" s="106" t="e">
        <f>I207/A207/365/1000</f>
        <v>#REF!</v>
      </c>
      <c r="K207" s="106" t="e">
        <f>$D$45</f>
        <v>#REF!</v>
      </c>
      <c r="L207" s="106" t="e">
        <f>K207+J207</f>
        <v>#REF!</v>
      </c>
      <c r="M207" s="94"/>
      <c r="N207" s="94"/>
    </row>
    <row r="208" spans="1:14">
      <c r="A208" s="94">
        <v>100</v>
      </c>
      <c r="B208" s="94">
        <v>100</v>
      </c>
      <c r="C208" s="107">
        <v>1</v>
      </c>
      <c r="D208" s="107">
        <f>'SNB-2017'!F108</f>
        <v>1</v>
      </c>
      <c r="E208" s="109">
        <v>0</v>
      </c>
      <c r="F208" s="108" t="e">
        <f>(C208*$D$142)+(D208*$D$143)</f>
        <v>#REF!</v>
      </c>
      <c r="G208" s="108" t="e">
        <f>$D$144*A208*1000</f>
        <v>#REF!</v>
      </c>
      <c r="H208" s="108" t="e">
        <f>E208*$D$141</f>
        <v>#REF!</v>
      </c>
      <c r="I208" s="107" t="e">
        <f>F208+G208+H208</f>
        <v>#REF!</v>
      </c>
      <c r="J208" s="106" t="e">
        <f>I208/A208/365/1000</f>
        <v>#REF!</v>
      </c>
      <c r="K208" s="106" t="e">
        <f>$D$45</f>
        <v>#REF!</v>
      </c>
      <c r="L208" s="106" t="e">
        <f>K208+J208</f>
        <v>#REF!</v>
      </c>
      <c r="M208" s="94"/>
      <c r="N208" s="94"/>
    </row>
    <row r="209" spans="1:14">
      <c r="A209" s="94">
        <v>150</v>
      </c>
      <c r="B209" s="94">
        <v>150</v>
      </c>
      <c r="C209" s="107">
        <v>1</v>
      </c>
      <c r="D209" s="107">
        <f>'SNB-2017'!F110</f>
        <v>6</v>
      </c>
      <c r="E209" s="109">
        <v>0</v>
      </c>
      <c r="F209" s="108" t="e">
        <f>(C209*$D$142)+(D209*$D$143)</f>
        <v>#REF!</v>
      </c>
      <c r="G209" s="108" t="e">
        <f>$D$144*A209*1000</f>
        <v>#REF!</v>
      </c>
      <c r="H209" s="108" t="e">
        <f>E209*$D$141</f>
        <v>#REF!</v>
      </c>
      <c r="I209" s="107" t="e">
        <f>F209+G209+H209</f>
        <v>#REF!</v>
      </c>
      <c r="J209" s="106" t="e">
        <f>I209/A209/365/1000</f>
        <v>#REF!</v>
      </c>
      <c r="K209" s="106" t="e">
        <f>$D$45</f>
        <v>#REF!</v>
      </c>
      <c r="L209" s="106" t="e">
        <f>K209+J209</f>
        <v>#REF!</v>
      </c>
      <c r="M209" s="94"/>
      <c r="N209" s="94"/>
    </row>
    <row r="210" spans="1:14">
      <c r="A210" s="94">
        <v>200</v>
      </c>
      <c r="B210" s="94">
        <v>200</v>
      </c>
      <c r="C210" s="107">
        <v>1</v>
      </c>
      <c r="D210" s="107">
        <f>'SNB-2017'!F111</f>
        <v>6</v>
      </c>
      <c r="E210" s="109">
        <v>0</v>
      </c>
      <c r="F210" s="108" t="e">
        <f>(C210*$D$142)+(D210*$D$143)</f>
        <v>#REF!</v>
      </c>
      <c r="G210" s="108" t="e">
        <f>$D$144*A210*1000</f>
        <v>#REF!</v>
      </c>
      <c r="H210" s="108" t="e">
        <f>E210*$D$141</f>
        <v>#REF!</v>
      </c>
      <c r="I210" s="107" t="e">
        <f>F210+G210+H210</f>
        <v>#REF!</v>
      </c>
      <c r="J210" s="106" t="e">
        <f>I210/A210/365/1000</f>
        <v>#REF!</v>
      </c>
      <c r="K210" s="106" t="e">
        <f>$D$45</f>
        <v>#REF!</v>
      </c>
      <c r="L210" s="106" t="e">
        <f>K210+J210</f>
        <v>#REF!</v>
      </c>
      <c r="M210" s="94"/>
      <c r="N210" s="94"/>
    </row>
    <row r="211" spans="1:14">
      <c r="A211" s="94"/>
      <c r="B211" s="94"/>
      <c r="C211" s="94"/>
      <c r="D211" s="94"/>
      <c r="E211" s="94"/>
      <c r="F211" s="94"/>
      <c r="G211" s="94"/>
      <c r="H211" s="94"/>
      <c r="I211" s="94"/>
      <c r="J211" s="94"/>
      <c r="K211" s="94"/>
      <c r="L211" s="94"/>
      <c r="M211" s="105" t="s">
        <v>103</v>
      </c>
      <c r="N211" s="94"/>
    </row>
    <row r="212" spans="1:14">
      <c r="A212" s="94"/>
      <c r="B212" s="94"/>
      <c r="C212" s="94"/>
      <c r="D212" s="94"/>
      <c r="E212" s="94"/>
      <c r="F212" s="94"/>
      <c r="G212" s="94"/>
      <c r="H212" s="94"/>
      <c r="I212" s="94"/>
      <c r="J212" s="104" t="s">
        <v>102</v>
      </c>
      <c r="K212" s="94"/>
      <c r="L212" s="103" t="e">
        <f>AVERAGE(L207:L210)</f>
        <v>#REF!</v>
      </c>
      <c r="M212" s="94"/>
      <c r="N212" s="94"/>
    </row>
    <row r="213" spans="1:14">
      <c r="A213" s="94"/>
      <c r="B213" s="94"/>
      <c r="C213" s="94"/>
      <c r="D213" s="94"/>
      <c r="E213" s="94"/>
      <c r="F213" s="94"/>
      <c r="G213" s="94"/>
      <c r="H213" s="94"/>
      <c r="I213" s="94"/>
      <c r="J213" s="104"/>
      <c r="K213" s="94"/>
      <c r="L213" s="103"/>
      <c r="M213" s="102" t="s">
        <v>101</v>
      </c>
      <c r="N213" s="94"/>
    </row>
    <row r="214" spans="1:14" ht="15.6">
      <c r="A214" s="94"/>
      <c r="B214" s="94"/>
      <c r="C214" s="101"/>
      <c r="D214" s="100"/>
      <c r="E214" s="100"/>
      <c r="F214" s="100"/>
      <c r="G214" s="100"/>
      <c r="H214" s="100"/>
      <c r="I214" s="100"/>
      <c r="J214" s="99" t="s">
        <v>100</v>
      </c>
      <c r="K214" s="98"/>
      <c r="L214" s="97" t="e">
        <f>ROUND((L185+L198+L212)/3,5)</f>
        <v>#REF!</v>
      </c>
      <c r="M214" s="94"/>
      <c r="N214" s="94"/>
    </row>
    <row r="215" spans="1:14">
      <c r="A215" s="94"/>
      <c r="B215" s="94"/>
      <c r="C215" s="94"/>
      <c r="D215" s="93"/>
      <c r="E215" s="93"/>
      <c r="F215" s="93"/>
      <c r="G215" s="94"/>
      <c r="H215" s="94"/>
      <c r="I215" s="94"/>
      <c r="J215" s="94"/>
      <c r="K215" s="94"/>
      <c r="L215" s="94"/>
      <c r="M215" s="94"/>
      <c r="N215" s="94"/>
    </row>
    <row r="216" spans="1:14" ht="15.6">
      <c r="A216" s="94"/>
      <c r="B216" s="94"/>
      <c r="C216" s="94"/>
      <c r="D216" s="93"/>
      <c r="E216" s="93"/>
      <c r="F216" s="93"/>
      <c r="G216" s="94"/>
      <c r="H216" s="94"/>
      <c r="I216" s="93"/>
      <c r="J216" s="95"/>
      <c r="K216" s="96"/>
      <c r="L216" s="95" t="s">
        <v>99</v>
      </c>
      <c r="M216" s="94"/>
      <c r="N216" s="94"/>
    </row>
    <row r="217" spans="1:14" ht="14.4" thickBot="1">
      <c r="A217" s="94"/>
      <c r="B217" s="94"/>
      <c r="C217" s="94"/>
      <c r="D217" s="93"/>
      <c r="E217" s="93"/>
      <c r="F217" s="93"/>
      <c r="G217" s="94"/>
      <c r="H217" s="94"/>
      <c r="I217" s="94"/>
      <c r="J217" s="94"/>
      <c r="K217" s="94"/>
      <c r="L217" s="94"/>
      <c r="M217" s="94"/>
      <c r="N217" s="94"/>
    </row>
    <row r="218" spans="1:14" ht="16.2" thickBot="1">
      <c r="A218" s="94"/>
      <c r="B218" s="94"/>
      <c r="C218" s="94"/>
      <c r="D218" s="93"/>
      <c r="E218" s="93"/>
      <c r="F218" s="93"/>
      <c r="G218" s="92"/>
      <c r="H218" s="91"/>
      <c r="I218" s="91"/>
      <c r="J218" s="90" t="s">
        <v>98</v>
      </c>
      <c r="K218" s="89"/>
      <c r="L218" s="88" t="e">
        <f>ROUND((L214*365/12),5)</f>
        <v>#REF!</v>
      </c>
    </row>
    <row r="219" spans="1:14">
      <c r="K219" s="49"/>
    </row>
    <row r="220" spans="1:14">
      <c r="K220" s="49"/>
    </row>
    <row r="221" spans="1:14" s="87" customFormat="1"/>
  </sheetData>
  <mergeCells count="5">
    <mergeCell ref="D54:G54"/>
    <mergeCell ref="B57:B62"/>
    <mergeCell ref="B63:B67"/>
    <mergeCell ref="B68:B71"/>
    <mergeCell ref="B72:B74"/>
  </mergeCells>
  <pageMargins left="0.75" right="0.75" top="1" bottom="1" header="0.5" footer="0.5"/>
  <pageSetup paperSize="5" scale="47" fitToHeight="4" orientation="landscape" r:id="rId1"/>
  <headerFooter alignWithMargins="0"/>
  <rowBreaks count="3" manualBreakCount="3">
    <brk id="47" max="12" man="1"/>
    <brk id="112" max="12" man="1"/>
    <brk id="148"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221"/>
  <sheetViews>
    <sheetView view="pageBreakPreview" zoomScale="75" zoomScaleNormal="75" zoomScaleSheetLayoutView="75" workbookViewId="0">
      <selection activeCell="D18" sqref="D18"/>
    </sheetView>
  </sheetViews>
  <sheetFormatPr defaultRowHeight="13.8"/>
  <cols>
    <col min="1" max="1" width="10.5546875" style="13" bestFit="1" customWidth="1"/>
    <col min="2" max="2" width="44.109375" style="13" customWidth="1"/>
    <col min="3" max="3" width="14.6640625" style="13" customWidth="1"/>
    <col min="4" max="4" width="23.6640625" style="13" bestFit="1" customWidth="1"/>
    <col min="5" max="5" width="11.88671875" style="13" customWidth="1"/>
    <col min="6" max="6" width="20.6640625" style="13" customWidth="1"/>
    <col min="7" max="7" width="15.6640625" style="13" customWidth="1"/>
    <col min="8" max="9" width="16.109375" style="13" bestFit="1" customWidth="1"/>
    <col min="10" max="10" width="13.6640625" style="13" customWidth="1"/>
    <col min="11" max="11" width="12.6640625" style="13" bestFit="1" customWidth="1"/>
    <col min="12" max="12" width="15.5546875" style="13" customWidth="1"/>
    <col min="13" max="13" width="16.109375" style="13" bestFit="1" customWidth="1"/>
    <col min="14" max="14" width="13.33203125" style="13" bestFit="1" customWidth="1"/>
    <col min="15" max="15" width="16.33203125" style="13" bestFit="1" customWidth="1"/>
    <col min="16" max="16" width="9.33203125" style="13" bestFit="1" customWidth="1"/>
    <col min="17" max="17" width="13" style="13" bestFit="1" customWidth="1"/>
    <col min="18" max="18" width="20.109375" style="13" bestFit="1" customWidth="1"/>
    <col min="19" max="19" width="50.33203125" style="13" bestFit="1" customWidth="1"/>
    <col min="20" max="20" width="16.109375" style="13" bestFit="1" customWidth="1"/>
    <col min="21" max="21" width="12.33203125" style="13" customWidth="1"/>
    <col min="22" max="22" width="18.88671875" style="13" bestFit="1" customWidth="1"/>
    <col min="23" max="23" width="16.6640625" style="13" customWidth="1"/>
    <col min="24" max="24" width="19" style="13" bestFit="1" customWidth="1"/>
    <col min="25" max="25" width="9.109375" style="13"/>
    <col min="26" max="26" width="18.88671875" style="13" bestFit="1" customWidth="1"/>
    <col min="27" max="256" width="9.109375" style="13"/>
    <col min="257" max="257" width="10.5546875" style="13" bestFit="1" customWidth="1"/>
    <col min="258" max="258" width="44.109375" style="13" customWidth="1"/>
    <col min="259" max="259" width="14.6640625" style="13" customWidth="1"/>
    <col min="260" max="260" width="23.6640625" style="13" bestFit="1" customWidth="1"/>
    <col min="261" max="261" width="11.88671875" style="13" customWidth="1"/>
    <col min="262" max="262" width="20.6640625" style="13" customWidth="1"/>
    <col min="263" max="263" width="15.6640625" style="13" customWidth="1"/>
    <col min="264" max="265" width="16.109375" style="13" bestFit="1" customWidth="1"/>
    <col min="266" max="266" width="13.6640625" style="13" customWidth="1"/>
    <col min="267" max="267" width="12.6640625" style="13" bestFit="1" customWidth="1"/>
    <col min="268" max="268" width="15.5546875" style="13" customWidth="1"/>
    <col min="269" max="269" width="16.109375" style="13" bestFit="1" customWidth="1"/>
    <col min="270" max="270" width="13.33203125" style="13" bestFit="1" customWidth="1"/>
    <col min="271" max="271" width="16.33203125" style="13" bestFit="1" customWidth="1"/>
    <col min="272" max="272" width="9.33203125" style="13" bestFit="1" customWidth="1"/>
    <col min="273" max="273" width="13" style="13" bestFit="1" customWidth="1"/>
    <col min="274" max="274" width="20.109375" style="13" bestFit="1" customWidth="1"/>
    <col min="275" max="275" width="50.33203125" style="13" bestFit="1" customWidth="1"/>
    <col min="276" max="276" width="16.109375" style="13" bestFit="1" customWidth="1"/>
    <col min="277" max="277" width="12.33203125" style="13" customWidth="1"/>
    <col min="278" max="278" width="18.88671875" style="13" bestFit="1" customWidth="1"/>
    <col min="279" max="279" width="16.6640625" style="13" customWidth="1"/>
    <col min="280" max="280" width="19" style="13" bestFit="1" customWidth="1"/>
    <col min="281" max="281" width="9.109375" style="13"/>
    <col min="282" max="282" width="18.88671875" style="13" bestFit="1" customWidth="1"/>
    <col min="283" max="512" width="9.109375" style="13"/>
    <col min="513" max="513" width="10.5546875" style="13" bestFit="1" customWidth="1"/>
    <col min="514" max="514" width="44.109375" style="13" customWidth="1"/>
    <col min="515" max="515" width="14.6640625" style="13" customWidth="1"/>
    <col min="516" max="516" width="23.6640625" style="13" bestFit="1" customWidth="1"/>
    <col min="517" max="517" width="11.88671875" style="13" customWidth="1"/>
    <col min="518" max="518" width="20.6640625" style="13" customWidth="1"/>
    <col min="519" max="519" width="15.6640625" style="13" customWidth="1"/>
    <col min="520" max="521" width="16.109375" style="13" bestFit="1" customWidth="1"/>
    <col min="522" max="522" width="13.6640625" style="13" customWidth="1"/>
    <col min="523" max="523" width="12.6640625" style="13" bestFit="1" customWidth="1"/>
    <col min="524" max="524" width="15.5546875" style="13" customWidth="1"/>
    <col min="525" max="525" width="16.109375" style="13" bestFit="1" customWidth="1"/>
    <col min="526" max="526" width="13.33203125" style="13" bestFit="1" customWidth="1"/>
    <col min="527" max="527" width="16.33203125" style="13" bestFit="1" customWidth="1"/>
    <col min="528" max="528" width="9.33203125" style="13" bestFit="1" customWidth="1"/>
    <col min="529" max="529" width="13" style="13" bestFit="1" customWidth="1"/>
    <col min="530" max="530" width="20.109375" style="13" bestFit="1" customWidth="1"/>
    <col min="531" max="531" width="50.33203125" style="13" bestFit="1" customWidth="1"/>
    <col min="532" max="532" width="16.109375" style="13" bestFit="1" customWidth="1"/>
    <col min="533" max="533" width="12.33203125" style="13" customWidth="1"/>
    <col min="534" max="534" width="18.88671875" style="13" bestFit="1" customWidth="1"/>
    <col min="535" max="535" width="16.6640625" style="13" customWidth="1"/>
    <col min="536" max="536" width="19" style="13" bestFit="1" customWidth="1"/>
    <col min="537" max="537" width="9.109375" style="13"/>
    <col min="538" max="538" width="18.88671875" style="13" bestFit="1" customWidth="1"/>
    <col min="539" max="768" width="9.109375" style="13"/>
    <col min="769" max="769" width="10.5546875" style="13" bestFit="1" customWidth="1"/>
    <col min="770" max="770" width="44.109375" style="13" customWidth="1"/>
    <col min="771" max="771" width="14.6640625" style="13" customWidth="1"/>
    <col min="772" max="772" width="23.6640625" style="13" bestFit="1" customWidth="1"/>
    <col min="773" max="773" width="11.88671875" style="13" customWidth="1"/>
    <col min="774" max="774" width="20.6640625" style="13" customWidth="1"/>
    <col min="775" max="775" width="15.6640625" style="13" customWidth="1"/>
    <col min="776" max="777" width="16.109375" style="13" bestFit="1" customWidth="1"/>
    <col min="778" max="778" width="13.6640625" style="13" customWidth="1"/>
    <col min="779" max="779" width="12.6640625" style="13" bestFit="1" customWidth="1"/>
    <col min="780" max="780" width="15.5546875" style="13" customWidth="1"/>
    <col min="781" max="781" width="16.109375" style="13" bestFit="1" customWidth="1"/>
    <col min="782" max="782" width="13.33203125" style="13" bestFit="1" customWidth="1"/>
    <col min="783" max="783" width="16.33203125" style="13" bestFit="1" customWidth="1"/>
    <col min="784" max="784" width="9.33203125" style="13" bestFit="1" customWidth="1"/>
    <col min="785" max="785" width="13" style="13" bestFit="1" customWidth="1"/>
    <col min="786" max="786" width="20.109375" style="13" bestFit="1" customWidth="1"/>
    <col min="787" max="787" width="50.33203125" style="13" bestFit="1" customWidth="1"/>
    <col min="788" max="788" width="16.109375" style="13" bestFit="1" customWidth="1"/>
    <col min="789" max="789" width="12.33203125" style="13" customWidth="1"/>
    <col min="790" max="790" width="18.88671875" style="13" bestFit="1" customWidth="1"/>
    <col min="791" max="791" width="16.6640625" style="13" customWidth="1"/>
    <col min="792" max="792" width="19" style="13" bestFit="1" customWidth="1"/>
    <col min="793" max="793" width="9.109375" style="13"/>
    <col min="794" max="794" width="18.88671875" style="13" bestFit="1" customWidth="1"/>
    <col min="795" max="1024" width="9.109375" style="13"/>
    <col min="1025" max="1025" width="10.5546875" style="13" bestFit="1" customWidth="1"/>
    <col min="1026" max="1026" width="44.109375" style="13" customWidth="1"/>
    <col min="1027" max="1027" width="14.6640625" style="13" customWidth="1"/>
    <col min="1028" max="1028" width="23.6640625" style="13" bestFit="1" customWidth="1"/>
    <col min="1029" max="1029" width="11.88671875" style="13" customWidth="1"/>
    <col min="1030" max="1030" width="20.6640625" style="13" customWidth="1"/>
    <col min="1031" max="1031" width="15.6640625" style="13" customWidth="1"/>
    <col min="1032" max="1033" width="16.109375" style="13" bestFit="1" customWidth="1"/>
    <col min="1034" max="1034" width="13.6640625" style="13" customWidth="1"/>
    <col min="1035" max="1035" width="12.6640625" style="13" bestFit="1" customWidth="1"/>
    <col min="1036" max="1036" width="15.5546875" style="13" customWidth="1"/>
    <col min="1037" max="1037" width="16.109375" style="13" bestFit="1" customWidth="1"/>
    <col min="1038" max="1038" width="13.33203125" style="13" bestFit="1" customWidth="1"/>
    <col min="1039" max="1039" width="16.33203125" style="13" bestFit="1" customWidth="1"/>
    <col min="1040" max="1040" width="9.33203125" style="13" bestFit="1" customWidth="1"/>
    <col min="1041" max="1041" width="13" style="13" bestFit="1" customWidth="1"/>
    <col min="1042" max="1042" width="20.109375" style="13" bestFit="1" customWidth="1"/>
    <col min="1043" max="1043" width="50.33203125" style="13" bestFit="1" customWidth="1"/>
    <col min="1044" max="1044" width="16.109375" style="13" bestFit="1" customWidth="1"/>
    <col min="1045" max="1045" width="12.33203125" style="13" customWidth="1"/>
    <col min="1046" max="1046" width="18.88671875" style="13" bestFit="1" customWidth="1"/>
    <col min="1047" max="1047" width="16.6640625" style="13" customWidth="1"/>
    <col min="1048" max="1048" width="19" style="13" bestFit="1" customWidth="1"/>
    <col min="1049" max="1049" width="9.109375" style="13"/>
    <col min="1050" max="1050" width="18.88671875" style="13" bestFit="1" customWidth="1"/>
    <col min="1051" max="1280" width="9.109375" style="13"/>
    <col min="1281" max="1281" width="10.5546875" style="13" bestFit="1" customWidth="1"/>
    <col min="1282" max="1282" width="44.109375" style="13" customWidth="1"/>
    <col min="1283" max="1283" width="14.6640625" style="13" customWidth="1"/>
    <col min="1284" max="1284" width="23.6640625" style="13" bestFit="1" customWidth="1"/>
    <col min="1285" max="1285" width="11.88671875" style="13" customWidth="1"/>
    <col min="1286" max="1286" width="20.6640625" style="13" customWidth="1"/>
    <col min="1287" max="1287" width="15.6640625" style="13" customWidth="1"/>
    <col min="1288" max="1289" width="16.109375" style="13" bestFit="1" customWidth="1"/>
    <col min="1290" max="1290" width="13.6640625" style="13" customWidth="1"/>
    <col min="1291" max="1291" width="12.6640625" style="13" bestFit="1" customWidth="1"/>
    <col min="1292" max="1292" width="15.5546875" style="13" customWidth="1"/>
    <col min="1293" max="1293" width="16.109375" style="13" bestFit="1" customWidth="1"/>
    <col min="1294" max="1294" width="13.33203125" style="13" bestFit="1" customWidth="1"/>
    <col min="1295" max="1295" width="16.33203125" style="13" bestFit="1" customWidth="1"/>
    <col min="1296" max="1296" width="9.33203125" style="13" bestFit="1" customWidth="1"/>
    <col min="1297" max="1297" width="13" style="13" bestFit="1" customWidth="1"/>
    <col min="1298" max="1298" width="20.109375" style="13" bestFit="1" customWidth="1"/>
    <col min="1299" max="1299" width="50.33203125" style="13" bestFit="1" customWidth="1"/>
    <col min="1300" max="1300" width="16.109375" style="13" bestFit="1" customWidth="1"/>
    <col min="1301" max="1301" width="12.33203125" style="13" customWidth="1"/>
    <col min="1302" max="1302" width="18.88671875" style="13" bestFit="1" customWidth="1"/>
    <col min="1303" max="1303" width="16.6640625" style="13" customWidth="1"/>
    <col min="1304" max="1304" width="19" style="13" bestFit="1" customWidth="1"/>
    <col min="1305" max="1305" width="9.109375" style="13"/>
    <col min="1306" max="1306" width="18.88671875" style="13" bestFit="1" customWidth="1"/>
    <col min="1307" max="1536" width="9.109375" style="13"/>
    <col min="1537" max="1537" width="10.5546875" style="13" bestFit="1" customWidth="1"/>
    <col min="1538" max="1538" width="44.109375" style="13" customWidth="1"/>
    <col min="1539" max="1539" width="14.6640625" style="13" customWidth="1"/>
    <col min="1540" max="1540" width="23.6640625" style="13" bestFit="1" customWidth="1"/>
    <col min="1541" max="1541" width="11.88671875" style="13" customWidth="1"/>
    <col min="1542" max="1542" width="20.6640625" style="13" customWidth="1"/>
    <col min="1543" max="1543" width="15.6640625" style="13" customWidth="1"/>
    <col min="1544" max="1545" width="16.109375" style="13" bestFit="1" customWidth="1"/>
    <col min="1546" max="1546" width="13.6640625" style="13" customWidth="1"/>
    <col min="1547" max="1547" width="12.6640625" style="13" bestFit="1" customWidth="1"/>
    <col min="1548" max="1548" width="15.5546875" style="13" customWidth="1"/>
    <col min="1549" max="1549" width="16.109375" style="13" bestFit="1" customWidth="1"/>
    <col min="1550" max="1550" width="13.33203125" style="13" bestFit="1" customWidth="1"/>
    <col min="1551" max="1551" width="16.33203125" style="13" bestFit="1" customWidth="1"/>
    <col min="1552" max="1552" width="9.33203125" style="13" bestFit="1" customWidth="1"/>
    <col min="1553" max="1553" width="13" style="13" bestFit="1" customWidth="1"/>
    <col min="1554" max="1554" width="20.109375" style="13" bestFit="1" customWidth="1"/>
    <col min="1555" max="1555" width="50.33203125" style="13" bestFit="1" customWidth="1"/>
    <col min="1556" max="1556" width="16.109375" style="13" bestFit="1" customWidth="1"/>
    <col min="1557" max="1557" width="12.33203125" style="13" customWidth="1"/>
    <col min="1558" max="1558" width="18.88671875" style="13" bestFit="1" customWidth="1"/>
    <col min="1559" max="1559" width="16.6640625" style="13" customWidth="1"/>
    <col min="1560" max="1560" width="19" style="13" bestFit="1" customWidth="1"/>
    <col min="1561" max="1561" width="9.109375" style="13"/>
    <col min="1562" max="1562" width="18.88671875" style="13" bestFit="1" customWidth="1"/>
    <col min="1563" max="1792" width="9.109375" style="13"/>
    <col min="1793" max="1793" width="10.5546875" style="13" bestFit="1" customWidth="1"/>
    <col min="1794" max="1794" width="44.109375" style="13" customWidth="1"/>
    <col min="1795" max="1795" width="14.6640625" style="13" customWidth="1"/>
    <col min="1796" max="1796" width="23.6640625" style="13" bestFit="1" customWidth="1"/>
    <col min="1797" max="1797" width="11.88671875" style="13" customWidth="1"/>
    <col min="1798" max="1798" width="20.6640625" style="13" customWidth="1"/>
    <col min="1799" max="1799" width="15.6640625" style="13" customWidth="1"/>
    <col min="1800" max="1801" width="16.109375" style="13" bestFit="1" customWidth="1"/>
    <col min="1802" max="1802" width="13.6640625" style="13" customWidth="1"/>
    <col min="1803" max="1803" width="12.6640625" style="13" bestFit="1" customWidth="1"/>
    <col min="1804" max="1804" width="15.5546875" style="13" customWidth="1"/>
    <col min="1805" max="1805" width="16.109375" style="13" bestFit="1" customWidth="1"/>
    <col min="1806" max="1806" width="13.33203125" style="13" bestFit="1" customWidth="1"/>
    <col min="1807" max="1807" width="16.33203125" style="13" bestFit="1" customWidth="1"/>
    <col min="1808" max="1808" width="9.33203125" style="13" bestFit="1" customWidth="1"/>
    <col min="1809" max="1809" width="13" style="13" bestFit="1" customWidth="1"/>
    <col min="1810" max="1810" width="20.109375" style="13" bestFit="1" customWidth="1"/>
    <col min="1811" max="1811" width="50.33203125" style="13" bestFit="1" customWidth="1"/>
    <col min="1812" max="1812" width="16.109375" style="13" bestFit="1" customWidth="1"/>
    <col min="1813" max="1813" width="12.33203125" style="13" customWidth="1"/>
    <col min="1814" max="1814" width="18.88671875" style="13" bestFit="1" customWidth="1"/>
    <col min="1815" max="1815" width="16.6640625" style="13" customWidth="1"/>
    <col min="1816" max="1816" width="19" style="13" bestFit="1" customWidth="1"/>
    <col min="1817" max="1817" width="9.109375" style="13"/>
    <col min="1818" max="1818" width="18.88671875" style="13" bestFit="1" customWidth="1"/>
    <col min="1819" max="2048" width="9.109375" style="13"/>
    <col min="2049" max="2049" width="10.5546875" style="13" bestFit="1" customWidth="1"/>
    <col min="2050" max="2050" width="44.109375" style="13" customWidth="1"/>
    <col min="2051" max="2051" width="14.6640625" style="13" customWidth="1"/>
    <col min="2052" max="2052" width="23.6640625" style="13" bestFit="1" customWidth="1"/>
    <col min="2053" max="2053" width="11.88671875" style="13" customWidth="1"/>
    <col min="2054" max="2054" width="20.6640625" style="13" customWidth="1"/>
    <col min="2055" max="2055" width="15.6640625" style="13" customWidth="1"/>
    <col min="2056" max="2057" width="16.109375" style="13" bestFit="1" customWidth="1"/>
    <col min="2058" max="2058" width="13.6640625" style="13" customWidth="1"/>
    <col min="2059" max="2059" width="12.6640625" style="13" bestFit="1" customWidth="1"/>
    <col min="2060" max="2060" width="15.5546875" style="13" customWidth="1"/>
    <col min="2061" max="2061" width="16.109375" style="13" bestFit="1" customWidth="1"/>
    <col min="2062" max="2062" width="13.33203125" style="13" bestFit="1" customWidth="1"/>
    <col min="2063" max="2063" width="16.33203125" style="13" bestFit="1" customWidth="1"/>
    <col min="2064" max="2064" width="9.33203125" style="13" bestFit="1" customWidth="1"/>
    <col min="2065" max="2065" width="13" style="13" bestFit="1" customWidth="1"/>
    <col min="2066" max="2066" width="20.109375" style="13" bestFit="1" customWidth="1"/>
    <col min="2067" max="2067" width="50.33203125" style="13" bestFit="1" customWidth="1"/>
    <col min="2068" max="2068" width="16.109375" style="13" bestFit="1" customWidth="1"/>
    <col min="2069" max="2069" width="12.33203125" style="13" customWidth="1"/>
    <col min="2070" max="2070" width="18.88671875" style="13" bestFit="1" customWidth="1"/>
    <col min="2071" max="2071" width="16.6640625" style="13" customWidth="1"/>
    <col min="2072" max="2072" width="19" style="13" bestFit="1" customWidth="1"/>
    <col min="2073" max="2073" width="9.109375" style="13"/>
    <col min="2074" max="2074" width="18.88671875" style="13" bestFit="1" customWidth="1"/>
    <col min="2075" max="2304" width="9.109375" style="13"/>
    <col min="2305" max="2305" width="10.5546875" style="13" bestFit="1" customWidth="1"/>
    <col min="2306" max="2306" width="44.109375" style="13" customWidth="1"/>
    <col min="2307" max="2307" width="14.6640625" style="13" customWidth="1"/>
    <col min="2308" max="2308" width="23.6640625" style="13" bestFit="1" customWidth="1"/>
    <col min="2309" max="2309" width="11.88671875" style="13" customWidth="1"/>
    <col min="2310" max="2310" width="20.6640625" style="13" customWidth="1"/>
    <col min="2311" max="2311" width="15.6640625" style="13" customWidth="1"/>
    <col min="2312" max="2313" width="16.109375" style="13" bestFit="1" customWidth="1"/>
    <col min="2314" max="2314" width="13.6640625" style="13" customWidth="1"/>
    <col min="2315" max="2315" width="12.6640625" style="13" bestFit="1" customWidth="1"/>
    <col min="2316" max="2316" width="15.5546875" style="13" customWidth="1"/>
    <col min="2317" max="2317" width="16.109375" style="13" bestFit="1" customWidth="1"/>
    <col min="2318" max="2318" width="13.33203125" style="13" bestFit="1" customWidth="1"/>
    <col min="2319" max="2319" width="16.33203125" style="13" bestFit="1" customWidth="1"/>
    <col min="2320" max="2320" width="9.33203125" style="13" bestFit="1" customWidth="1"/>
    <col min="2321" max="2321" width="13" style="13" bestFit="1" customWidth="1"/>
    <col min="2322" max="2322" width="20.109375" style="13" bestFit="1" customWidth="1"/>
    <col min="2323" max="2323" width="50.33203125" style="13" bestFit="1" customWidth="1"/>
    <col min="2324" max="2324" width="16.109375" style="13" bestFit="1" customWidth="1"/>
    <col min="2325" max="2325" width="12.33203125" style="13" customWidth="1"/>
    <col min="2326" max="2326" width="18.88671875" style="13" bestFit="1" customWidth="1"/>
    <col min="2327" max="2327" width="16.6640625" style="13" customWidth="1"/>
    <col min="2328" max="2328" width="19" style="13" bestFit="1" customWidth="1"/>
    <col min="2329" max="2329" width="9.109375" style="13"/>
    <col min="2330" max="2330" width="18.88671875" style="13" bestFit="1" customWidth="1"/>
    <col min="2331" max="2560" width="9.109375" style="13"/>
    <col min="2561" max="2561" width="10.5546875" style="13" bestFit="1" customWidth="1"/>
    <col min="2562" max="2562" width="44.109375" style="13" customWidth="1"/>
    <col min="2563" max="2563" width="14.6640625" style="13" customWidth="1"/>
    <col min="2564" max="2564" width="23.6640625" style="13" bestFit="1" customWidth="1"/>
    <col min="2565" max="2565" width="11.88671875" style="13" customWidth="1"/>
    <col min="2566" max="2566" width="20.6640625" style="13" customWidth="1"/>
    <col min="2567" max="2567" width="15.6640625" style="13" customWidth="1"/>
    <col min="2568" max="2569" width="16.109375" style="13" bestFit="1" customWidth="1"/>
    <col min="2570" max="2570" width="13.6640625" style="13" customWidth="1"/>
    <col min="2571" max="2571" width="12.6640625" style="13" bestFit="1" customWidth="1"/>
    <col min="2572" max="2572" width="15.5546875" style="13" customWidth="1"/>
    <col min="2573" max="2573" width="16.109375" style="13" bestFit="1" customWidth="1"/>
    <col min="2574" max="2574" width="13.33203125" style="13" bestFit="1" customWidth="1"/>
    <col min="2575" max="2575" width="16.33203125" style="13" bestFit="1" customWidth="1"/>
    <col min="2576" max="2576" width="9.33203125" style="13" bestFit="1" customWidth="1"/>
    <col min="2577" max="2577" width="13" style="13" bestFit="1" customWidth="1"/>
    <col min="2578" max="2578" width="20.109375" style="13" bestFit="1" customWidth="1"/>
    <col min="2579" max="2579" width="50.33203125" style="13" bestFit="1" customWidth="1"/>
    <col min="2580" max="2580" width="16.109375" style="13" bestFit="1" customWidth="1"/>
    <col min="2581" max="2581" width="12.33203125" style="13" customWidth="1"/>
    <col min="2582" max="2582" width="18.88671875" style="13" bestFit="1" customWidth="1"/>
    <col min="2583" max="2583" width="16.6640625" style="13" customWidth="1"/>
    <col min="2584" max="2584" width="19" style="13" bestFit="1" customWidth="1"/>
    <col min="2585" max="2585" width="9.109375" style="13"/>
    <col min="2586" max="2586" width="18.88671875" style="13" bestFit="1" customWidth="1"/>
    <col min="2587" max="2816" width="9.109375" style="13"/>
    <col min="2817" max="2817" width="10.5546875" style="13" bestFit="1" customWidth="1"/>
    <col min="2818" max="2818" width="44.109375" style="13" customWidth="1"/>
    <col min="2819" max="2819" width="14.6640625" style="13" customWidth="1"/>
    <col min="2820" max="2820" width="23.6640625" style="13" bestFit="1" customWidth="1"/>
    <col min="2821" max="2821" width="11.88671875" style="13" customWidth="1"/>
    <col min="2822" max="2822" width="20.6640625" style="13" customWidth="1"/>
    <col min="2823" max="2823" width="15.6640625" style="13" customWidth="1"/>
    <col min="2824" max="2825" width="16.109375" style="13" bestFit="1" customWidth="1"/>
    <col min="2826" max="2826" width="13.6640625" style="13" customWidth="1"/>
    <col min="2827" max="2827" width="12.6640625" style="13" bestFit="1" customWidth="1"/>
    <col min="2828" max="2828" width="15.5546875" style="13" customWidth="1"/>
    <col min="2829" max="2829" width="16.109375" style="13" bestFit="1" customWidth="1"/>
    <col min="2830" max="2830" width="13.33203125" style="13" bestFit="1" customWidth="1"/>
    <col min="2831" max="2831" width="16.33203125" style="13" bestFit="1" customWidth="1"/>
    <col min="2832" max="2832" width="9.33203125" style="13" bestFit="1" customWidth="1"/>
    <col min="2833" max="2833" width="13" style="13" bestFit="1" customWidth="1"/>
    <col min="2834" max="2834" width="20.109375" style="13" bestFit="1" customWidth="1"/>
    <col min="2835" max="2835" width="50.33203125" style="13" bestFit="1" customWidth="1"/>
    <col min="2836" max="2836" width="16.109375" style="13" bestFit="1" customWidth="1"/>
    <col min="2837" max="2837" width="12.33203125" style="13" customWidth="1"/>
    <col min="2838" max="2838" width="18.88671875" style="13" bestFit="1" customWidth="1"/>
    <col min="2839" max="2839" width="16.6640625" style="13" customWidth="1"/>
    <col min="2840" max="2840" width="19" style="13" bestFit="1" customWidth="1"/>
    <col min="2841" max="2841" width="9.109375" style="13"/>
    <col min="2842" max="2842" width="18.88671875" style="13" bestFit="1" customWidth="1"/>
    <col min="2843" max="3072" width="9.109375" style="13"/>
    <col min="3073" max="3073" width="10.5546875" style="13" bestFit="1" customWidth="1"/>
    <col min="3074" max="3074" width="44.109375" style="13" customWidth="1"/>
    <col min="3075" max="3075" width="14.6640625" style="13" customWidth="1"/>
    <col min="3076" max="3076" width="23.6640625" style="13" bestFit="1" customWidth="1"/>
    <col min="3077" max="3077" width="11.88671875" style="13" customWidth="1"/>
    <col min="3078" max="3078" width="20.6640625" style="13" customWidth="1"/>
    <col min="3079" max="3079" width="15.6640625" style="13" customWidth="1"/>
    <col min="3080" max="3081" width="16.109375" style="13" bestFit="1" customWidth="1"/>
    <col min="3082" max="3082" width="13.6640625" style="13" customWidth="1"/>
    <col min="3083" max="3083" width="12.6640625" style="13" bestFit="1" customWidth="1"/>
    <col min="3084" max="3084" width="15.5546875" style="13" customWidth="1"/>
    <col min="3085" max="3085" width="16.109375" style="13" bestFit="1" customWidth="1"/>
    <col min="3086" max="3086" width="13.33203125" style="13" bestFit="1" customWidth="1"/>
    <col min="3087" max="3087" width="16.33203125" style="13" bestFit="1" customWidth="1"/>
    <col min="3088" max="3088" width="9.33203125" style="13" bestFit="1" customWidth="1"/>
    <col min="3089" max="3089" width="13" style="13" bestFit="1" customWidth="1"/>
    <col min="3090" max="3090" width="20.109375" style="13" bestFit="1" customWidth="1"/>
    <col min="3091" max="3091" width="50.33203125" style="13" bestFit="1" customWidth="1"/>
    <col min="3092" max="3092" width="16.109375" style="13" bestFit="1" customWidth="1"/>
    <col min="3093" max="3093" width="12.33203125" style="13" customWidth="1"/>
    <col min="3094" max="3094" width="18.88671875" style="13" bestFit="1" customWidth="1"/>
    <col min="3095" max="3095" width="16.6640625" style="13" customWidth="1"/>
    <col min="3096" max="3096" width="19" style="13" bestFit="1" customWidth="1"/>
    <col min="3097" max="3097" width="9.109375" style="13"/>
    <col min="3098" max="3098" width="18.88671875" style="13" bestFit="1" customWidth="1"/>
    <col min="3099" max="3328" width="9.109375" style="13"/>
    <col min="3329" max="3329" width="10.5546875" style="13" bestFit="1" customWidth="1"/>
    <col min="3330" max="3330" width="44.109375" style="13" customWidth="1"/>
    <col min="3331" max="3331" width="14.6640625" style="13" customWidth="1"/>
    <col min="3332" max="3332" width="23.6640625" style="13" bestFit="1" customWidth="1"/>
    <col min="3333" max="3333" width="11.88671875" style="13" customWidth="1"/>
    <col min="3334" max="3334" width="20.6640625" style="13" customWidth="1"/>
    <col min="3335" max="3335" width="15.6640625" style="13" customWidth="1"/>
    <col min="3336" max="3337" width="16.109375" style="13" bestFit="1" customWidth="1"/>
    <col min="3338" max="3338" width="13.6640625" style="13" customWidth="1"/>
    <col min="3339" max="3339" width="12.6640625" style="13" bestFit="1" customWidth="1"/>
    <col min="3340" max="3340" width="15.5546875" style="13" customWidth="1"/>
    <col min="3341" max="3341" width="16.109375" style="13" bestFit="1" customWidth="1"/>
    <col min="3342" max="3342" width="13.33203125" style="13" bestFit="1" customWidth="1"/>
    <col min="3343" max="3343" width="16.33203125" style="13" bestFit="1" customWidth="1"/>
    <col min="3344" max="3344" width="9.33203125" style="13" bestFit="1" customWidth="1"/>
    <col min="3345" max="3345" width="13" style="13" bestFit="1" customWidth="1"/>
    <col min="3346" max="3346" width="20.109375" style="13" bestFit="1" customWidth="1"/>
    <col min="3347" max="3347" width="50.33203125" style="13" bestFit="1" customWidth="1"/>
    <col min="3348" max="3348" width="16.109375" style="13" bestFit="1" customWidth="1"/>
    <col min="3349" max="3349" width="12.33203125" style="13" customWidth="1"/>
    <col min="3350" max="3350" width="18.88671875" style="13" bestFit="1" customWidth="1"/>
    <col min="3351" max="3351" width="16.6640625" style="13" customWidth="1"/>
    <col min="3352" max="3352" width="19" style="13" bestFit="1" customWidth="1"/>
    <col min="3353" max="3353" width="9.109375" style="13"/>
    <col min="3354" max="3354" width="18.88671875" style="13" bestFit="1" customWidth="1"/>
    <col min="3355" max="3584" width="9.109375" style="13"/>
    <col min="3585" max="3585" width="10.5546875" style="13" bestFit="1" customWidth="1"/>
    <col min="3586" max="3586" width="44.109375" style="13" customWidth="1"/>
    <col min="3587" max="3587" width="14.6640625" style="13" customWidth="1"/>
    <col min="3588" max="3588" width="23.6640625" style="13" bestFit="1" customWidth="1"/>
    <col min="3589" max="3589" width="11.88671875" style="13" customWidth="1"/>
    <col min="3590" max="3590" width="20.6640625" style="13" customWidth="1"/>
    <col min="3591" max="3591" width="15.6640625" style="13" customWidth="1"/>
    <col min="3592" max="3593" width="16.109375" style="13" bestFit="1" customWidth="1"/>
    <col min="3594" max="3594" width="13.6640625" style="13" customWidth="1"/>
    <col min="3595" max="3595" width="12.6640625" style="13" bestFit="1" customWidth="1"/>
    <col min="3596" max="3596" width="15.5546875" style="13" customWidth="1"/>
    <col min="3597" max="3597" width="16.109375" style="13" bestFit="1" customWidth="1"/>
    <col min="3598" max="3598" width="13.33203125" style="13" bestFit="1" customWidth="1"/>
    <col min="3599" max="3599" width="16.33203125" style="13" bestFit="1" customWidth="1"/>
    <col min="3600" max="3600" width="9.33203125" style="13" bestFit="1" customWidth="1"/>
    <col min="3601" max="3601" width="13" style="13" bestFit="1" customWidth="1"/>
    <col min="3602" max="3602" width="20.109375" style="13" bestFit="1" customWidth="1"/>
    <col min="3603" max="3603" width="50.33203125" style="13" bestFit="1" customWidth="1"/>
    <col min="3604" max="3604" width="16.109375" style="13" bestFit="1" customWidth="1"/>
    <col min="3605" max="3605" width="12.33203125" style="13" customWidth="1"/>
    <col min="3606" max="3606" width="18.88671875" style="13" bestFit="1" customWidth="1"/>
    <col min="3607" max="3607" width="16.6640625" style="13" customWidth="1"/>
    <col min="3608" max="3608" width="19" style="13" bestFit="1" customWidth="1"/>
    <col min="3609" max="3609" width="9.109375" style="13"/>
    <col min="3610" max="3610" width="18.88671875" style="13" bestFit="1" customWidth="1"/>
    <col min="3611" max="3840" width="9.109375" style="13"/>
    <col min="3841" max="3841" width="10.5546875" style="13" bestFit="1" customWidth="1"/>
    <col min="3842" max="3842" width="44.109375" style="13" customWidth="1"/>
    <col min="3843" max="3843" width="14.6640625" style="13" customWidth="1"/>
    <col min="3844" max="3844" width="23.6640625" style="13" bestFit="1" customWidth="1"/>
    <col min="3845" max="3845" width="11.88671875" style="13" customWidth="1"/>
    <col min="3846" max="3846" width="20.6640625" style="13" customWidth="1"/>
    <col min="3847" max="3847" width="15.6640625" style="13" customWidth="1"/>
    <col min="3848" max="3849" width="16.109375" style="13" bestFit="1" customWidth="1"/>
    <col min="3850" max="3850" width="13.6640625" style="13" customWidth="1"/>
    <col min="3851" max="3851" width="12.6640625" style="13" bestFit="1" customWidth="1"/>
    <col min="3852" max="3852" width="15.5546875" style="13" customWidth="1"/>
    <col min="3853" max="3853" width="16.109375" style="13" bestFit="1" customWidth="1"/>
    <col min="3854" max="3854" width="13.33203125" style="13" bestFit="1" customWidth="1"/>
    <col min="3855" max="3855" width="16.33203125" style="13" bestFit="1" customWidth="1"/>
    <col min="3856" max="3856" width="9.33203125" style="13" bestFit="1" customWidth="1"/>
    <col min="3857" max="3857" width="13" style="13" bestFit="1" customWidth="1"/>
    <col min="3858" max="3858" width="20.109375" style="13" bestFit="1" customWidth="1"/>
    <col min="3859" max="3859" width="50.33203125" style="13" bestFit="1" customWidth="1"/>
    <col min="3860" max="3860" width="16.109375" style="13" bestFit="1" customWidth="1"/>
    <col min="3861" max="3861" width="12.33203125" style="13" customWidth="1"/>
    <col min="3862" max="3862" width="18.88671875" style="13" bestFit="1" customWidth="1"/>
    <col min="3863" max="3863" width="16.6640625" style="13" customWidth="1"/>
    <col min="3864" max="3864" width="19" style="13" bestFit="1" customWidth="1"/>
    <col min="3865" max="3865" width="9.109375" style="13"/>
    <col min="3866" max="3866" width="18.88671875" style="13" bestFit="1" customWidth="1"/>
    <col min="3867" max="4096" width="9.109375" style="13"/>
    <col min="4097" max="4097" width="10.5546875" style="13" bestFit="1" customWidth="1"/>
    <col min="4098" max="4098" width="44.109375" style="13" customWidth="1"/>
    <col min="4099" max="4099" width="14.6640625" style="13" customWidth="1"/>
    <col min="4100" max="4100" width="23.6640625" style="13" bestFit="1" customWidth="1"/>
    <col min="4101" max="4101" width="11.88671875" style="13" customWidth="1"/>
    <col min="4102" max="4102" width="20.6640625" style="13" customWidth="1"/>
    <col min="4103" max="4103" width="15.6640625" style="13" customWidth="1"/>
    <col min="4104" max="4105" width="16.109375" style="13" bestFit="1" customWidth="1"/>
    <col min="4106" max="4106" width="13.6640625" style="13" customWidth="1"/>
    <col min="4107" max="4107" width="12.6640625" style="13" bestFit="1" customWidth="1"/>
    <col min="4108" max="4108" width="15.5546875" style="13" customWidth="1"/>
    <col min="4109" max="4109" width="16.109375" style="13" bestFit="1" customWidth="1"/>
    <col min="4110" max="4110" width="13.33203125" style="13" bestFit="1" customWidth="1"/>
    <col min="4111" max="4111" width="16.33203125" style="13" bestFit="1" customWidth="1"/>
    <col min="4112" max="4112" width="9.33203125" style="13" bestFit="1" customWidth="1"/>
    <col min="4113" max="4113" width="13" style="13" bestFit="1" customWidth="1"/>
    <col min="4114" max="4114" width="20.109375" style="13" bestFit="1" customWidth="1"/>
    <col min="4115" max="4115" width="50.33203125" style="13" bestFit="1" customWidth="1"/>
    <col min="4116" max="4116" width="16.109375" style="13" bestFit="1" customWidth="1"/>
    <col min="4117" max="4117" width="12.33203125" style="13" customWidth="1"/>
    <col min="4118" max="4118" width="18.88671875" style="13" bestFit="1" customWidth="1"/>
    <col min="4119" max="4119" width="16.6640625" style="13" customWidth="1"/>
    <col min="4120" max="4120" width="19" style="13" bestFit="1" customWidth="1"/>
    <col min="4121" max="4121" width="9.109375" style="13"/>
    <col min="4122" max="4122" width="18.88671875" style="13" bestFit="1" customWidth="1"/>
    <col min="4123" max="4352" width="9.109375" style="13"/>
    <col min="4353" max="4353" width="10.5546875" style="13" bestFit="1" customWidth="1"/>
    <col min="4354" max="4354" width="44.109375" style="13" customWidth="1"/>
    <col min="4355" max="4355" width="14.6640625" style="13" customWidth="1"/>
    <col min="4356" max="4356" width="23.6640625" style="13" bestFit="1" customWidth="1"/>
    <col min="4357" max="4357" width="11.88671875" style="13" customWidth="1"/>
    <col min="4358" max="4358" width="20.6640625" style="13" customWidth="1"/>
    <col min="4359" max="4359" width="15.6640625" style="13" customWidth="1"/>
    <col min="4360" max="4361" width="16.109375" style="13" bestFit="1" customWidth="1"/>
    <col min="4362" max="4362" width="13.6640625" style="13" customWidth="1"/>
    <col min="4363" max="4363" width="12.6640625" style="13" bestFit="1" customWidth="1"/>
    <col min="4364" max="4364" width="15.5546875" style="13" customWidth="1"/>
    <col min="4365" max="4365" width="16.109375" style="13" bestFit="1" customWidth="1"/>
    <col min="4366" max="4366" width="13.33203125" style="13" bestFit="1" customWidth="1"/>
    <col min="4367" max="4367" width="16.33203125" style="13" bestFit="1" customWidth="1"/>
    <col min="4368" max="4368" width="9.33203125" style="13" bestFit="1" customWidth="1"/>
    <col min="4369" max="4369" width="13" style="13" bestFit="1" customWidth="1"/>
    <col min="4370" max="4370" width="20.109375" style="13" bestFit="1" customWidth="1"/>
    <col min="4371" max="4371" width="50.33203125" style="13" bestFit="1" customWidth="1"/>
    <col min="4372" max="4372" width="16.109375" style="13" bestFit="1" customWidth="1"/>
    <col min="4373" max="4373" width="12.33203125" style="13" customWidth="1"/>
    <col min="4374" max="4374" width="18.88671875" style="13" bestFit="1" customWidth="1"/>
    <col min="4375" max="4375" width="16.6640625" style="13" customWidth="1"/>
    <col min="4376" max="4376" width="19" style="13" bestFit="1" customWidth="1"/>
    <col min="4377" max="4377" width="9.109375" style="13"/>
    <col min="4378" max="4378" width="18.88671875" style="13" bestFit="1" customWidth="1"/>
    <col min="4379" max="4608" width="9.109375" style="13"/>
    <col min="4609" max="4609" width="10.5546875" style="13" bestFit="1" customWidth="1"/>
    <col min="4610" max="4610" width="44.109375" style="13" customWidth="1"/>
    <col min="4611" max="4611" width="14.6640625" style="13" customWidth="1"/>
    <col min="4612" max="4612" width="23.6640625" style="13" bestFit="1" customWidth="1"/>
    <col min="4613" max="4613" width="11.88671875" style="13" customWidth="1"/>
    <col min="4614" max="4614" width="20.6640625" style="13" customWidth="1"/>
    <col min="4615" max="4615" width="15.6640625" style="13" customWidth="1"/>
    <col min="4616" max="4617" width="16.109375" style="13" bestFit="1" customWidth="1"/>
    <col min="4618" max="4618" width="13.6640625" style="13" customWidth="1"/>
    <col min="4619" max="4619" width="12.6640625" style="13" bestFit="1" customWidth="1"/>
    <col min="4620" max="4620" width="15.5546875" style="13" customWidth="1"/>
    <col min="4621" max="4621" width="16.109375" style="13" bestFit="1" customWidth="1"/>
    <col min="4622" max="4622" width="13.33203125" style="13" bestFit="1" customWidth="1"/>
    <col min="4623" max="4623" width="16.33203125" style="13" bestFit="1" customWidth="1"/>
    <col min="4624" max="4624" width="9.33203125" style="13" bestFit="1" customWidth="1"/>
    <col min="4625" max="4625" width="13" style="13" bestFit="1" customWidth="1"/>
    <col min="4626" max="4626" width="20.109375" style="13" bestFit="1" customWidth="1"/>
    <col min="4627" max="4627" width="50.33203125" style="13" bestFit="1" customWidth="1"/>
    <col min="4628" max="4628" width="16.109375" style="13" bestFit="1" customWidth="1"/>
    <col min="4629" max="4629" width="12.33203125" style="13" customWidth="1"/>
    <col min="4630" max="4630" width="18.88671875" style="13" bestFit="1" customWidth="1"/>
    <col min="4631" max="4631" width="16.6640625" style="13" customWidth="1"/>
    <col min="4632" max="4632" width="19" style="13" bestFit="1" customWidth="1"/>
    <col min="4633" max="4633" width="9.109375" style="13"/>
    <col min="4634" max="4634" width="18.88671875" style="13" bestFit="1" customWidth="1"/>
    <col min="4635" max="4864" width="9.109375" style="13"/>
    <col min="4865" max="4865" width="10.5546875" style="13" bestFit="1" customWidth="1"/>
    <col min="4866" max="4866" width="44.109375" style="13" customWidth="1"/>
    <col min="4867" max="4867" width="14.6640625" style="13" customWidth="1"/>
    <col min="4868" max="4868" width="23.6640625" style="13" bestFit="1" customWidth="1"/>
    <col min="4869" max="4869" width="11.88671875" style="13" customWidth="1"/>
    <col min="4870" max="4870" width="20.6640625" style="13" customWidth="1"/>
    <col min="4871" max="4871" width="15.6640625" style="13" customWidth="1"/>
    <col min="4872" max="4873" width="16.109375" style="13" bestFit="1" customWidth="1"/>
    <col min="4874" max="4874" width="13.6640625" style="13" customWidth="1"/>
    <col min="4875" max="4875" width="12.6640625" style="13" bestFit="1" customWidth="1"/>
    <col min="4876" max="4876" width="15.5546875" style="13" customWidth="1"/>
    <col min="4877" max="4877" width="16.109375" style="13" bestFit="1" customWidth="1"/>
    <col min="4878" max="4878" width="13.33203125" style="13" bestFit="1" customWidth="1"/>
    <col min="4879" max="4879" width="16.33203125" style="13" bestFit="1" customWidth="1"/>
    <col min="4880" max="4880" width="9.33203125" style="13" bestFit="1" customWidth="1"/>
    <col min="4881" max="4881" width="13" style="13" bestFit="1" customWidth="1"/>
    <col min="4882" max="4882" width="20.109375" style="13" bestFit="1" customWidth="1"/>
    <col min="4883" max="4883" width="50.33203125" style="13" bestFit="1" customWidth="1"/>
    <col min="4884" max="4884" width="16.109375" style="13" bestFit="1" customWidth="1"/>
    <col min="4885" max="4885" width="12.33203125" style="13" customWidth="1"/>
    <col min="4886" max="4886" width="18.88671875" style="13" bestFit="1" customWidth="1"/>
    <col min="4887" max="4887" width="16.6640625" style="13" customWidth="1"/>
    <col min="4888" max="4888" width="19" style="13" bestFit="1" customWidth="1"/>
    <col min="4889" max="4889" width="9.109375" style="13"/>
    <col min="4890" max="4890" width="18.88671875" style="13" bestFit="1" customWidth="1"/>
    <col min="4891" max="5120" width="9.109375" style="13"/>
    <col min="5121" max="5121" width="10.5546875" style="13" bestFit="1" customWidth="1"/>
    <col min="5122" max="5122" width="44.109375" style="13" customWidth="1"/>
    <col min="5123" max="5123" width="14.6640625" style="13" customWidth="1"/>
    <col min="5124" max="5124" width="23.6640625" style="13" bestFit="1" customWidth="1"/>
    <col min="5125" max="5125" width="11.88671875" style="13" customWidth="1"/>
    <col min="5126" max="5126" width="20.6640625" style="13" customWidth="1"/>
    <col min="5127" max="5127" width="15.6640625" style="13" customWidth="1"/>
    <col min="5128" max="5129" width="16.109375" style="13" bestFit="1" customWidth="1"/>
    <col min="5130" max="5130" width="13.6640625" style="13" customWidth="1"/>
    <col min="5131" max="5131" width="12.6640625" style="13" bestFit="1" customWidth="1"/>
    <col min="5132" max="5132" width="15.5546875" style="13" customWidth="1"/>
    <col min="5133" max="5133" width="16.109375" style="13" bestFit="1" customWidth="1"/>
    <col min="5134" max="5134" width="13.33203125" style="13" bestFit="1" customWidth="1"/>
    <col min="5135" max="5135" width="16.33203125" style="13" bestFit="1" customWidth="1"/>
    <col min="5136" max="5136" width="9.33203125" style="13" bestFit="1" customWidth="1"/>
    <col min="5137" max="5137" width="13" style="13" bestFit="1" customWidth="1"/>
    <col min="5138" max="5138" width="20.109375" style="13" bestFit="1" customWidth="1"/>
    <col min="5139" max="5139" width="50.33203125" style="13" bestFit="1" customWidth="1"/>
    <col min="5140" max="5140" width="16.109375" style="13" bestFit="1" customWidth="1"/>
    <col min="5141" max="5141" width="12.33203125" style="13" customWidth="1"/>
    <col min="5142" max="5142" width="18.88671875" style="13" bestFit="1" customWidth="1"/>
    <col min="5143" max="5143" width="16.6640625" style="13" customWidth="1"/>
    <col min="5144" max="5144" width="19" style="13" bestFit="1" customWidth="1"/>
    <col min="5145" max="5145" width="9.109375" style="13"/>
    <col min="5146" max="5146" width="18.88671875" style="13" bestFit="1" customWidth="1"/>
    <col min="5147" max="5376" width="9.109375" style="13"/>
    <col min="5377" max="5377" width="10.5546875" style="13" bestFit="1" customWidth="1"/>
    <col min="5378" max="5378" width="44.109375" style="13" customWidth="1"/>
    <col min="5379" max="5379" width="14.6640625" style="13" customWidth="1"/>
    <col min="5380" max="5380" width="23.6640625" style="13" bestFit="1" customWidth="1"/>
    <col min="5381" max="5381" width="11.88671875" style="13" customWidth="1"/>
    <col min="5382" max="5382" width="20.6640625" style="13" customWidth="1"/>
    <col min="5383" max="5383" width="15.6640625" style="13" customWidth="1"/>
    <col min="5384" max="5385" width="16.109375" style="13" bestFit="1" customWidth="1"/>
    <col min="5386" max="5386" width="13.6640625" style="13" customWidth="1"/>
    <col min="5387" max="5387" width="12.6640625" style="13" bestFit="1" customWidth="1"/>
    <col min="5388" max="5388" width="15.5546875" style="13" customWidth="1"/>
    <col min="5389" max="5389" width="16.109375" style="13" bestFit="1" customWidth="1"/>
    <col min="5390" max="5390" width="13.33203125" style="13" bestFit="1" customWidth="1"/>
    <col min="5391" max="5391" width="16.33203125" style="13" bestFit="1" customWidth="1"/>
    <col min="5392" max="5392" width="9.33203125" style="13" bestFit="1" customWidth="1"/>
    <col min="5393" max="5393" width="13" style="13" bestFit="1" customWidth="1"/>
    <col min="5394" max="5394" width="20.109375" style="13" bestFit="1" customWidth="1"/>
    <col min="5395" max="5395" width="50.33203125" style="13" bestFit="1" customWidth="1"/>
    <col min="5396" max="5396" width="16.109375" style="13" bestFit="1" customWidth="1"/>
    <col min="5397" max="5397" width="12.33203125" style="13" customWidth="1"/>
    <col min="5398" max="5398" width="18.88671875" style="13" bestFit="1" customWidth="1"/>
    <col min="5399" max="5399" width="16.6640625" style="13" customWidth="1"/>
    <col min="5400" max="5400" width="19" style="13" bestFit="1" customWidth="1"/>
    <col min="5401" max="5401" width="9.109375" style="13"/>
    <col min="5402" max="5402" width="18.88671875" style="13" bestFit="1" customWidth="1"/>
    <col min="5403" max="5632" width="9.109375" style="13"/>
    <col min="5633" max="5633" width="10.5546875" style="13" bestFit="1" customWidth="1"/>
    <col min="5634" max="5634" width="44.109375" style="13" customWidth="1"/>
    <col min="5635" max="5635" width="14.6640625" style="13" customWidth="1"/>
    <col min="5636" max="5636" width="23.6640625" style="13" bestFit="1" customWidth="1"/>
    <col min="5637" max="5637" width="11.88671875" style="13" customWidth="1"/>
    <col min="5638" max="5638" width="20.6640625" style="13" customWidth="1"/>
    <col min="5639" max="5639" width="15.6640625" style="13" customWidth="1"/>
    <col min="5640" max="5641" width="16.109375" style="13" bestFit="1" customWidth="1"/>
    <col min="5642" max="5642" width="13.6640625" style="13" customWidth="1"/>
    <col min="5643" max="5643" width="12.6640625" style="13" bestFit="1" customWidth="1"/>
    <col min="5644" max="5644" width="15.5546875" style="13" customWidth="1"/>
    <col min="5645" max="5645" width="16.109375" style="13" bestFit="1" customWidth="1"/>
    <col min="5646" max="5646" width="13.33203125" style="13" bestFit="1" customWidth="1"/>
    <col min="5647" max="5647" width="16.33203125" style="13" bestFit="1" customWidth="1"/>
    <col min="5648" max="5648" width="9.33203125" style="13" bestFit="1" customWidth="1"/>
    <col min="5649" max="5649" width="13" style="13" bestFit="1" customWidth="1"/>
    <col min="5650" max="5650" width="20.109375" style="13" bestFit="1" customWidth="1"/>
    <col min="5651" max="5651" width="50.33203125" style="13" bestFit="1" customWidth="1"/>
    <col min="5652" max="5652" width="16.109375" style="13" bestFit="1" customWidth="1"/>
    <col min="5653" max="5653" width="12.33203125" style="13" customWidth="1"/>
    <col min="5654" max="5654" width="18.88671875" style="13" bestFit="1" customWidth="1"/>
    <col min="5655" max="5655" width="16.6640625" style="13" customWidth="1"/>
    <col min="5656" max="5656" width="19" style="13" bestFit="1" customWidth="1"/>
    <col min="5657" max="5657" width="9.109375" style="13"/>
    <col min="5658" max="5658" width="18.88671875" style="13" bestFit="1" customWidth="1"/>
    <col min="5659" max="5888" width="9.109375" style="13"/>
    <col min="5889" max="5889" width="10.5546875" style="13" bestFit="1" customWidth="1"/>
    <col min="5890" max="5890" width="44.109375" style="13" customWidth="1"/>
    <col min="5891" max="5891" width="14.6640625" style="13" customWidth="1"/>
    <col min="5892" max="5892" width="23.6640625" style="13" bestFit="1" customWidth="1"/>
    <col min="5893" max="5893" width="11.88671875" style="13" customWidth="1"/>
    <col min="5894" max="5894" width="20.6640625" style="13" customWidth="1"/>
    <col min="5895" max="5895" width="15.6640625" style="13" customWidth="1"/>
    <col min="5896" max="5897" width="16.109375" style="13" bestFit="1" customWidth="1"/>
    <col min="5898" max="5898" width="13.6640625" style="13" customWidth="1"/>
    <col min="5899" max="5899" width="12.6640625" style="13" bestFit="1" customWidth="1"/>
    <col min="5900" max="5900" width="15.5546875" style="13" customWidth="1"/>
    <col min="5901" max="5901" width="16.109375" style="13" bestFit="1" customWidth="1"/>
    <col min="5902" max="5902" width="13.33203125" style="13" bestFit="1" customWidth="1"/>
    <col min="5903" max="5903" width="16.33203125" style="13" bestFit="1" customWidth="1"/>
    <col min="5904" max="5904" width="9.33203125" style="13" bestFit="1" customWidth="1"/>
    <col min="5905" max="5905" width="13" style="13" bestFit="1" customWidth="1"/>
    <col min="5906" max="5906" width="20.109375" style="13" bestFit="1" customWidth="1"/>
    <col min="5907" max="5907" width="50.33203125" style="13" bestFit="1" customWidth="1"/>
    <col min="5908" max="5908" width="16.109375" style="13" bestFit="1" customWidth="1"/>
    <col min="5909" max="5909" width="12.33203125" style="13" customWidth="1"/>
    <col min="5910" max="5910" width="18.88671875" style="13" bestFit="1" customWidth="1"/>
    <col min="5911" max="5911" width="16.6640625" style="13" customWidth="1"/>
    <col min="5912" max="5912" width="19" style="13" bestFit="1" customWidth="1"/>
    <col min="5913" max="5913" width="9.109375" style="13"/>
    <col min="5914" max="5914" width="18.88671875" style="13" bestFit="1" customWidth="1"/>
    <col min="5915" max="6144" width="9.109375" style="13"/>
    <col min="6145" max="6145" width="10.5546875" style="13" bestFit="1" customWidth="1"/>
    <col min="6146" max="6146" width="44.109375" style="13" customWidth="1"/>
    <col min="6147" max="6147" width="14.6640625" style="13" customWidth="1"/>
    <col min="6148" max="6148" width="23.6640625" style="13" bestFit="1" customWidth="1"/>
    <col min="6149" max="6149" width="11.88671875" style="13" customWidth="1"/>
    <col min="6150" max="6150" width="20.6640625" style="13" customWidth="1"/>
    <col min="6151" max="6151" width="15.6640625" style="13" customWidth="1"/>
    <col min="6152" max="6153" width="16.109375" style="13" bestFit="1" customWidth="1"/>
    <col min="6154" max="6154" width="13.6640625" style="13" customWidth="1"/>
    <col min="6155" max="6155" width="12.6640625" style="13" bestFit="1" customWidth="1"/>
    <col min="6156" max="6156" width="15.5546875" style="13" customWidth="1"/>
    <col min="6157" max="6157" width="16.109375" style="13" bestFit="1" customWidth="1"/>
    <col min="6158" max="6158" width="13.33203125" style="13" bestFit="1" customWidth="1"/>
    <col min="6159" max="6159" width="16.33203125" style="13" bestFit="1" customWidth="1"/>
    <col min="6160" max="6160" width="9.33203125" style="13" bestFit="1" customWidth="1"/>
    <col min="6161" max="6161" width="13" style="13" bestFit="1" customWidth="1"/>
    <col min="6162" max="6162" width="20.109375" style="13" bestFit="1" customWidth="1"/>
    <col min="6163" max="6163" width="50.33203125" style="13" bestFit="1" customWidth="1"/>
    <col min="6164" max="6164" width="16.109375" style="13" bestFit="1" customWidth="1"/>
    <col min="6165" max="6165" width="12.33203125" style="13" customWidth="1"/>
    <col min="6166" max="6166" width="18.88671875" style="13" bestFit="1" customWidth="1"/>
    <col min="6167" max="6167" width="16.6640625" style="13" customWidth="1"/>
    <col min="6168" max="6168" width="19" style="13" bestFit="1" customWidth="1"/>
    <col min="6169" max="6169" width="9.109375" style="13"/>
    <col min="6170" max="6170" width="18.88671875" style="13" bestFit="1" customWidth="1"/>
    <col min="6171" max="6400" width="9.109375" style="13"/>
    <col min="6401" max="6401" width="10.5546875" style="13" bestFit="1" customWidth="1"/>
    <col min="6402" max="6402" width="44.109375" style="13" customWidth="1"/>
    <col min="6403" max="6403" width="14.6640625" style="13" customWidth="1"/>
    <col min="6404" max="6404" width="23.6640625" style="13" bestFit="1" customWidth="1"/>
    <col min="6405" max="6405" width="11.88671875" style="13" customWidth="1"/>
    <col min="6406" max="6406" width="20.6640625" style="13" customWidth="1"/>
    <col min="6407" max="6407" width="15.6640625" style="13" customWidth="1"/>
    <col min="6408" max="6409" width="16.109375" style="13" bestFit="1" customWidth="1"/>
    <col min="6410" max="6410" width="13.6640625" style="13" customWidth="1"/>
    <col min="6411" max="6411" width="12.6640625" style="13" bestFit="1" customWidth="1"/>
    <col min="6412" max="6412" width="15.5546875" style="13" customWidth="1"/>
    <col min="6413" max="6413" width="16.109375" style="13" bestFit="1" customWidth="1"/>
    <col min="6414" max="6414" width="13.33203125" style="13" bestFit="1" customWidth="1"/>
    <col min="6415" max="6415" width="16.33203125" style="13" bestFit="1" customWidth="1"/>
    <col min="6416" max="6416" width="9.33203125" style="13" bestFit="1" customWidth="1"/>
    <col min="6417" max="6417" width="13" style="13" bestFit="1" customWidth="1"/>
    <col min="6418" max="6418" width="20.109375" style="13" bestFit="1" customWidth="1"/>
    <col min="6419" max="6419" width="50.33203125" style="13" bestFit="1" customWidth="1"/>
    <col min="6420" max="6420" width="16.109375" style="13" bestFit="1" customWidth="1"/>
    <col min="6421" max="6421" width="12.33203125" style="13" customWidth="1"/>
    <col min="6422" max="6422" width="18.88671875" style="13" bestFit="1" customWidth="1"/>
    <col min="6423" max="6423" width="16.6640625" style="13" customWidth="1"/>
    <col min="6424" max="6424" width="19" style="13" bestFit="1" customWidth="1"/>
    <col min="6425" max="6425" width="9.109375" style="13"/>
    <col min="6426" max="6426" width="18.88671875" style="13" bestFit="1" customWidth="1"/>
    <col min="6427" max="6656" width="9.109375" style="13"/>
    <col min="6657" max="6657" width="10.5546875" style="13" bestFit="1" customWidth="1"/>
    <col min="6658" max="6658" width="44.109375" style="13" customWidth="1"/>
    <col min="6659" max="6659" width="14.6640625" style="13" customWidth="1"/>
    <col min="6660" max="6660" width="23.6640625" style="13" bestFit="1" customWidth="1"/>
    <col min="6661" max="6661" width="11.88671875" style="13" customWidth="1"/>
    <col min="6662" max="6662" width="20.6640625" style="13" customWidth="1"/>
    <col min="6663" max="6663" width="15.6640625" style="13" customWidth="1"/>
    <col min="6664" max="6665" width="16.109375" style="13" bestFit="1" customWidth="1"/>
    <col min="6666" max="6666" width="13.6640625" style="13" customWidth="1"/>
    <col min="6667" max="6667" width="12.6640625" style="13" bestFit="1" customWidth="1"/>
    <col min="6668" max="6668" width="15.5546875" style="13" customWidth="1"/>
    <col min="6669" max="6669" width="16.109375" style="13" bestFit="1" customWidth="1"/>
    <col min="6670" max="6670" width="13.33203125" style="13" bestFit="1" customWidth="1"/>
    <col min="6671" max="6671" width="16.33203125" style="13" bestFit="1" customWidth="1"/>
    <col min="6672" max="6672" width="9.33203125" style="13" bestFit="1" customWidth="1"/>
    <col min="6673" max="6673" width="13" style="13" bestFit="1" customWidth="1"/>
    <col min="6674" max="6674" width="20.109375" style="13" bestFit="1" customWidth="1"/>
    <col min="6675" max="6675" width="50.33203125" style="13" bestFit="1" customWidth="1"/>
    <col min="6676" max="6676" width="16.109375" style="13" bestFit="1" customWidth="1"/>
    <col min="6677" max="6677" width="12.33203125" style="13" customWidth="1"/>
    <col min="6678" max="6678" width="18.88671875" style="13" bestFit="1" customWidth="1"/>
    <col min="6679" max="6679" width="16.6640625" style="13" customWidth="1"/>
    <col min="6680" max="6680" width="19" style="13" bestFit="1" customWidth="1"/>
    <col min="6681" max="6681" width="9.109375" style="13"/>
    <col min="6682" max="6682" width="18.88671875" style="13" bestFit="1" customWidth="1"/>
    <col min="6683" max="6912" width="9.109375" style="13"/>
    <col min="6913" max="6913" width="10.5546875" style="13" bestFit="1" customWidth="1"/>
    <col min="6914" max="6914" width="44.109375" style="13" customWidth="1"/>
    <col min="6915" max="6915" width="14.6640625" style="13" customWidth="1"/>
    <col min="6916" max="6916" width="23.6640625" style="13" bestFit="1" customWidth="1"/>
    <col min="6917" max="6917" width="11.88671875" style="13" customWidth="1"/>
    <col min="6918" max="6918" width="20.6640625" style="13" customWidth="1"/>
    <col min="6919" max="6919" width="15.6640625" style="13" customWidth="1"/>
    <col min="6920" max="6921" width="16.109375" style="13" bestFit="1" customWidth="1"/>
    <col min="6922" max="6922" width="13.6640625" style="13" customWidth="1"/>
    <col min="6923" max="6923" width="12.6640625" style="13" bestFit="1" customWidth="1"/>
    <col min="6924" max="6924" width="15.5546875" style="13" customWidth="1"/>
    <col min="6925" max="6925" width="16.109375" style="13" bestFit="1" customWidth="1"/>
    <col min="6926" max="6926" width="13.33203125" style="13" bestFit="1" customWidth="1"/>
    <col min="6927" max="6927" width="16.33203125" style="13" bestFit="1" customWidth="1"/>
    <col min="6928" max="6928" width="9.33203125" style="13" bestFit="1" customWidth="1"/>
    <col min="6929" max="6929" width="13" style="13" bestFit="1" customWidth="1"/>
    <col min="6930" max="6930" width="20.109375" style="13" bestFit="1" customWidth="1"/>
    <col min="6931" max="6931" width="50.33203125" style="13" bestFit="1" customWidth="1"/>
    <col min="6932" max="6932" width="16.109375" style="13" bestFit="1" customWidth="1"/>
    <col min="6933" max="6933" width="12.33203125" style="13" customWidth="1"/>
    <col min="6934" max="6934" width="18.88671875" style="13" bestFit="1" customWidth="1"/>
    <col min="6935" max="6935" width="16.6640625" style="13" customWidth="1"/>
    <col min="6936" max="6936" width="19" style="13" bestFit="1" customWidth="1"/>
    <col min="6937" max="6937" width="9.109375" style="13"/>
    <col min="6938" max="6938" width="18.88671875" style="13" bestFit="1" customWidth="1"/>
    <col min="6939" max="7168" width="9.109375" style="13"/>
    <col min="7169" max="7169" width="10.5546875" style="13" bestFit="1" customWidth="1"/>
    <col min="7170" max="7170" width="44.109375" style="13" customWidth="1"/>
    <col min="7171" max="7171" width="14.6640625" style="13" customWidth="1"/>
    <col min="7172" max="7172" width="23.6640625" style="13" bestFit="1" customWidth="1"/>
    <col min="7173" max="7173" width="11.88671875" style="13" customWidth="1"/>
    <col min="7174" max="7174" width="20.6640625" style="13" customWidth="1"/>
    <col min="7175" max="7175" width="15.6640625" style="13" customWidth="1"/>
    <col min="7176" max="7177" width="16.109375" style="13" bestFit="1" customWidth="1"/>
    <col min="7178" max="7178" width="13.6640625" style="13" customWidth="1"/>
    <col min="7179" max="7179" width="12.6640625" style="13" bestFit="1" customWidth="1"/>
    <col min="7180" max="7180" width="15.5546875" style="13" customWidth="1"/>
    <col min="7181" max="7181" width="16.109375" style="13" bestFit="1" customWidth="1"/>
    <col min="7182" max="7182" width="13.33203125" style="13" bestFit="1" customWidth="1"/>
    <col min="7183" max="7183" width="16.33203125" style="13" bestFit="1" customWidth="1"/>
    <col min="7184" max="7184" width="9.33203125" style="13" bestFit="1" customWidth="1"/>
    <col min="7185" max="7185" width="13" style="13" bestFit="1" customWidth="1"/>
    <col min="7186" max="7186" width="20.109375" style="13" bestFit="1" customWidth="1"/>
    <col min="7187" max="7187" width="50.33203125" style="13" bestFit="1" customWidth="1"/>
    <col min="7188" max="7188" width="16.109375" style="13" bestFit="1" customWidth="1"/>
    <col min="7189" max="7189" width="12.33203125" style="13" customWidth="1"/>
    <col min="7190" max="7190" width="18.88671875" style="13" bestFit="1" customWidth="1"/>
    <col min="7191" max="7191" width="16.6640625" style="13" customWidth="1"/>
    <col min="7192" max="7192" width="19" style="13" bestFit="1" customWidth="1"/>
    <col min="7193" max="7193" width="9.109375" style="13"/>
    <col min="7194" max="7194" width="18.88671875" style="13" bestFit="1" customWidth="1"/>
    <col min="7195" max="7424" width="9.109375" style="13"/>
    <col min="7425" max="7425" width="10.5546875" style="13" bestFit="1" customWidth="1"/>
    <col min="7426" max="7426" width="44.109375" style="13" customWidth="1"/>
    <col min="7427" max="7427" width="14.6640625" style="13" customWidth="1"/>
    <col min="7428" max="7428" width="23.6640625" style="13" bestFit="1" customWidth="1"/>
    <col min="7429" max="7429" width="11.88671875" style="13" customWidth="1"/>
    <col min="7430" max="7430" width="20.6640625" style="13" customWidth="1"/>
    <col min="7431" max="7431" width="15.6640625" style="13" customWidth="1"/>
    <col min="7432" max="7433" width="16.109375" style="13" bestFit="1" customWidth="1"/>
    <col min="7434" max="7434" width="13.6640625" style="13" customWidth="1"/>
    <col min="7435" max="7435" width="12.6640625" style="13" bestFit="1" customWidth="1"/>
    <col min="7436" max="7436" width="15.5546875" style="13" customWidth="1"/>
    <col min="7437" max="7437" width="16.109375" style="13" bestFit="1" customWidth="1"/>
    <col min="7438" max="7438" width="13.33203125" style="13" bestFit="1" customWidth="1"/>
    <col min="7439" max="7439" width="16.33203125" style="13" bestFit="1" customWidth="1"/>
    <col min="7440" max="7440" width="9.33203125" style="13" bestFit="1" customWidth="1"/>
    <col min="7441" max="7441" width="13" style="13" bestFit="1" customWidth="1"/>
    <col min="7442" max="7442" width="20.109375" style="13" bestFit="1" customWidth="1"/>
    <col min="7443" max="7443" width="50.33203125" style="13" bestFit="1" customWidth="1"/>
    <col min="7444" max="7444" width="16.109375" style="13" bestFit="1" customWidth="1"/>
    <col min="7445" max="7445" width="12.33203125" style="13" customWidth="1"/>
    <col min="7446" max="7446" width="18.88671875" style="13" bestFit="1" customWidth="1"/>
    <col min="7447" max="7447" width="16.6640625" style="13" customWidth="1"/>
    <col min="7448" max="7448" width="19" style="13" bestFit="1" customWidth="1"/>
    <col min="7449" max="7449" width="9.109375" style="13"/>
    <col min="7450" max="7450" width="18.88671875" style="13" bestFit="1" customWidth="1"/>
    <col min="7451" max="7680" width="9.109375" style="13"/>
    <col min="7681" max="7681" width="10.5546875" style="13" bestFit="1" customWidth="1"/>
    <col min="7682" max="7682" width="44.109375" style="13" customWidth="1"/>
    <col min="7683" max="7683" width="14.6640625" style="13" customWidth="1"/>
    <col min="7684" max="7684" width="23.6640625" style="13" bestFit="1" customWidth="1"/>
    <col min="7685" max="7685" width="11.88671875" style="13" customWidth="1"/>
    <col min="7686" max="7686" width="20.6640625" style="13" customWidth="1"/>
    <col min="7687" max="7687" width="15.6640625" style="13" customWidth="1"/>
    <col min="7688" max="7689" width="16.109375" style="13" bestFit="1" customWidth="1"/>
    <col min="7690" max="7690" width="13.6640625" style="13" customWidth="1"/>
    <col min="7691" max="7691" width="12.6640625" style="13" bestFit="1" customWidth="1"/>
    <col min="7692" max="7692" width="15.5546875" style="13" customWidth="1"/>
    <col min="7693" max="7693" width="16.109375" style="13" bestFit="1" customWidth="1"/>
    <col min="7694" max="7694" width="13.33203125" style="13" bestFit="1" customWidth="1"/>
    <col min="7695" max="7695" width="16.33203125" style="13" bestFit="1" customWidth="1"/>
    <col min="7696" max="7696" width="9.33203125" style="13" bestFit="1" customWidth="1"/>
    <col min="7697" max="7697" width="13" style="13" bestFit="1" customWidth="1"/>
    <col min="7698" max="7698" width="20.109375" style="13" bestFit="1" customWidth="1"/>
    <col min="7699" max="7699" width="50.33203125" style="13" bestFit="1" customWidth="1"/>
    <col min="7700" max="7700" width="16.109375" style="13" bestFit="1" customWidth="1"/>
    <col min="7701" max="7701" width="12.33203125" style="13" customWidth="1"/>
    <col min="7702" max="7702" width="18.88671875" style="13" bestFit="1" customWidth="1"/>
    <col min="7703" max="7703" width="16.6640625" style="13" customWidth="1"/>
    <col min="7704" max="7704" width="19" style="13" bestFit="1" customWidth="1"/>
    <col min="7705" max="7705" width="9.109375" style="13"/>
    <col min="7706" max="7706" width="18.88671875" style="13" bestFit="1" customWidth="1"/>
    <col min="7707" max="7936" width="9.109375" style="13"/>
    <col min="7937" max="7937" width="10.5546875" style="13" bestFit="1" customWidth="1"/>
    <col min="7938" max="7938" width="44.109375" style="13" customWidth="1"/>
    <col min="7939" max="7939" width="14.6640625" style="13" customWidth="1"/>
    <col min="7940" max="7940" width="23.6640625" style="13" bestFit="1" customWidth="1"/>
    <col min="7941" max="7941" width="11.88671875" style="13" customWidth="1"/>
    <col min="7942" max="7942" width="20.6640625" style="13" customWidth="1"/>
    <col min="7943" max="7943" width="15.6640625" style="13" customWidth="1"/>
    <col min="7944" max="7945" width="16.109375" style="13" bestFit="1" customWidth="1"/>
    <col min="7946" max="7946" width="13.6640625" style="13" customWidth="1"/>
    <col min="7947" max="7947" width="12.6640625" style="13" bestFit="1" customWidth="1"/>
    <col min="7948" max="7948" width="15.5546875" style="13" customWidth="1"/>
    <col min="7949" max="7949" width="16.109375" style="13" bestFit="1" customWidth="1"/>
    <col min="7950" max="7950" width="13.33203125" style="13" bestFit="1" customWidth="1"/>
    <col min="7951" max="7951" width="16.33203125" style="13" bestFit="1" customWidth="1"/>
    <col min="7952" max="7952" width="9.33203125" style="13" bestFit="1" customWidth="1"/>
    <col min="7953" max="7953" width="13" style="13" bestFit="1" customWidth="1"/>
    <col min="7954" max="7954" width="20.109375" style="13" bestFit="1" customWidth="1"/>
    <col min="7955" max="7955" width="50.33203125" style="13" bestFit="1" customWidth="1"/>
    <col min="7956" max="7956" width="16.109375" style="13" bestFit="1" customWidth="1"/>
    <col min="7957" max="7957" width="12.33203125" style="13" customWidth="1"/>
    <col min="7958" max="7958" width="18.88671875" style="13" bestFit="1" customWidth="1"/>
    <col min="7959" max="7959" width="16.6640625" style="13" customWidth="1"/>
    <col min="7960" max="7960" width="19" style="13" bestFit="1" customWidth="1"/>
    <col min="7961" max="7961" width="9.109375" style="13"/>
    <col min="7962" max="7962" width="18.88671875" style="13" bestFit="1" customWidth="1"/>
    <col min="7963" max="8192" width="9.109375" style="13"/>
    <col min="8193" max="8193" width="10.5546875" style="13" bestFit="1" customWidth="1"/>
    <col min="8194" max="8194" width="44.109375" style="13" customWidth="1"/>
    <col min="8195" max="8195" width="14.6640625" style="13" customWidth="1"/>
    <col min="8196" max="8196" width="23.6640625" style="13" bestFit="1" customWidth="1"/>
    <col min="8197" max="8197" width="11.88671875" style="13" customWidth="1"/>
    <col min="8198" max="8198" width="20.6640625" style="13" customWidth="1"/>
    <col min="8199" max="8199" width="15.6640625" style="13" customWidth="1"/>
    <col min="8200" max="8201" width="16.109375" style="13" bestFit="1" customWidth="1"/>
    <col min="8202" max="8202" width="13.6640625" style="13" customWidth="1"/>
    <col min="8203" max="8203" width="12.6640625" style="13" bestFit="1" customWidth="1"/>
    <col min="8204" max="8204" width="15.5546875" style="13" customWidth="1"/>
    <col min="8205" max="8205" width="16.109375" style="13" bestFit="1" customWidth="1"/>
    <col min="8206" max="8206" width="13.33203125" style="13" bestFit="1" customWidth="1"/>
    <col min="8207" max="8207" width="16.33203125" style="13" bestFit="1" customWidth="1"/>
    <col min="8208" max="8208" width="9.33203125" style="13" bestFit="1" customWidth="1"/>
    <col min="8209" max="8209" width="13" style="13" bestFit="1" customWidth="1"/>
    <col min="8210" max="8210" width="20.109375" style="13" bestFit="1" customWidth="1"/>
    <col min="8211" max="8211" width="50.33203125" style="13" bestFit="1" customWidth="1"/>
    <col min="8212" max="8212" width="16.109375" style="13" bestFit="1" customWidth="1"/>
    <col min="8213" max="8213" width="12.33203125" style="13" customWidth="1"/>
    <col min="8214" max="8214" width="18.88671875" style="13" bestFit="1" customWidth="1"/>
    <col min="8215" max="8215" width="16.6640625" style="13" customWidth="1"/>
    <col min="8216" max="8216" width="19" style="13" bestFit="1" customWidth="1"/>
    <col min="8217" max="8217" width="9.109375" style="13"/>
    <col min="8218" max="8218" width="18.88671875" style="13" bestFit="1" customWidth="1"/>
    <col min="8219" max="8448" width="9.109375" style="13"/>
    <col min="8449" max="8449" width="10.5546875" style="13" bestFit="1" customWidth="1"/>
    <col min="8450" max="8450" width="44.109375" style="13" customWidth="1"/>
    <col min="8451" max="8451" width="14.6640625" style="13" customWidth="1"/>
    <col min="8452" max="8452" width="23.6640625" style="13" bestFit="1" customWidth="1"/>
    <col min="8453" max="8453" width="11.88671875" style="13" customWidth="1"/>
    <col min="8454" max="8454" width="20.6640625" style="13" customWidth="1"/>
    <col min="8455" max="8455" width="15.6640625" style="13" customWidth="1"/>
    <col min="8456" max="8457" width="16.109375" style="13" bestFit="1" customWidth="1"/>
    <col min="8458" max="8458" width="13.6640625" style="13" customWidth="1"/>
    <col min="8459" max="8459" width="12.6640625" style="13" bestFit="1" customWidth="1"/>
    <col min="8460" max="8460" width="15.5546875" style="13" customWidth="1"/>
    <col min="8461" max="8461" width="16.109375" style="13" bestFit="1" customWidth="1"/>
    <col min="8462" max="8462" width="13.33203125" style="13" bestFit="1" customWidth="1"/>
    <col min="8463" max="8463" width="16.33203125" style="13" bestFit="1" customWidth="1"/>
    <col min="8464" max="8464" width="9.33203125" style="13" bestFit="1" customWidth="1"/>
    <col min="8465" max="8465" width="13" style="13" bestFit="1" customWidth="1"/>
    <col min="8466" max="8466" width="20.109375" style="13" bestFit="1" customWidth="1"/>
    <col min="8467" max="8467" width="50.33203125" style="13" bestFit="1" customWidth="1"/>
    <col min="8468" max="8468" width="16.109375" style="13" bestFit="1" customWidth="1"/>
    <col min="8469" max="8469" width="12.33203125" style="13" customWidth="1"/>
    <col min="8470" max="8470" width="18.88671875" style="13" bestFit="1" customWidth="1"/>
    <col min="8471" max="8471" width="16.6640625" style="13" customWidth="1"/>
    <col min="8472" max="8472" width="19" style="13" bestFit="1" customWidth="1"/>
    <col min="8473" max="8473" width="9.109375" style="13"/>
    <col min="8474" max="8474" width="18.88671875" style="13" bestFit="1" customWidth="1"/>
    <col min="8475" max="8704" width="9.109375" style="13"/>
    <col min="8705" max="8705" width="10.5546875" style="13" bestFit="1" customWidth="1"/>
    <col min="8706" max="8706" width="44.109375" style="13" customWidth="1"/>
    <col min="8707" max="8707" width="14.6640625" style="13" customWidth="1"/>
    <col min="8708" max="8708" width="23.6640625" style="13" bestFit="1" customWidth="1"/>
    <col min="8709" max="8709" width="11.88671875" style="13" customWidth="1"/>
    <col min="8710" max="8710" width="20.6640625" style="13" customWidth="1"/>
    <col min="8711" max="8711" width="15.6640625" style="13" customWidth="1"/>
    <col min="8712" max="8713" width="16.109375" style="13" bestFit="1" customWidth="1"/>
    <col min="8714" max="8714" width="13.6640625" style="13" customWidth="1"/>
    <col min="8715" max="8715" width="12.6640625" style="13" bestFit="1" customWidth="1"/>
    <col min="8716" max="8716" width="15.5546875" style="13" customWidth="1"/>
    <col min="8717" max="8717" width="16.109375" style="13" bestFit="1" customWidth="1"/>
    <col min="8718" max="8718" width="13.33203125" style="13" bestFit="1" customWidth="1"/>
    <col min="8719" max="8719" width="16.33203125" style="13" bestFit="1" customWidth="1"/>
    <col min="8720" max="8720" width="9.33203125" style="13" bestFit="1" customWidth="1"/>
    <col min="8721" max="8721" width="13" style="13" bestFit="1" customWidth="1"/>
    <col min="8722" max="8722" width="20.109375" style="13" bestFit="1" customWidth="1"/>
    <col min="8723" max="8723" width="50.33203125" style="13" bestFit="1" customWidth="1"/>
    <col min="8724" max="8724" width="16.109375" style="13" bestFit="1" customWidth="1"/>
    <col min="8725" max="8725" width="12.33203125" style="13" customWidth="1"/>
    <col min="8726" max="8726" width="18.88671875" style="13" bestFit="1" customWidth="1"/>
    <col min="8727" max="8727" width="16.6640625" style="13" customWidth="1"/>
    <col min="8728" max="8728" width="19" style="13" bestFit="1" customWidth="1"/>
    <col min="8729" max="8729" width="9.109375" style="13"/>
    <col min="8730" max="8730" width="18.88671875" style="13" bestFit="1" customWidth="1"/>
    <col min="8731" max="8960" width="9.109375" style="13"/>
    <col min="8961" max="8961" width="10.5546875" style="13" bestFit="1" customWidth="1"/>
    <col min="8962" max="8962" width="44.109375" style="13" customWidth="1"/>
    <col min="8963" max="8963" width="14.6640625" style="13" customWidth="1"/>
    <col min="8964" max="8964" width="23.6640625" style="13" bestFit="1" customWidth="1"/>
    <col min="8965" max="8965" width="11.88671875" style="13" customWidth="1"/>
    <col min="8966" max="8966" width="20.6640625" style="13" customWidth="1"/>
    <col min="8967" max="8967" width="15.6640625" style="13" customWidth="1"/>
    <col min="8968" max="8969" width="16.109375" style="13" bestFit="1" customWidth="1"/>
    <col min="8970" max="8970" width="13.6640625" style="13" customWidth="1"/>
    <col min="8971" max="8971" width="12.6640625" style="13" bestFit="1" customWidth="1"/>
    <col min="8972" max="8972" width="15.5546875" style="13" customWidth="1"/>
    <col min="8973" max="8973" width="16.109375" style="13" bestFit="1" customWidth="1"/>
    <col min="8974" max="8974" width="13.33203125" style="13" bestFit="1" customWidth="1"/>
    <col min="8975" max="8975" width="16.33203125" style="13" bestFit="1" customWidth="1"/>
    <col min="8976" max="8976" width="9.33203125" style="13" bestFit="1" customWidth="1"/>
    <col min="8977" max="8977" width="13" style="13" bestFit="1" customWidth="1"/>
    <col min="8978" max="8978" width="20.109375" style="13" bestFit="1" customWidth="1"/>
    <col min="8979" max="8979" width="50.33203125" style="13" bestFit="1" customWidth="1"/>
    <col min="8980" max="8980" width="16.109375" style="13" bestFit="1" customWidth="1"/>
    <col min="8981" max="8981" width="12.33203125" style="13" customWidth="1"/>
    <col min="8982" max="8982" width="18.88671875" style="13" bestFit="1" customWidth="1"/>
    <col min="8983" max="8983" width="16.6640625" style="13" customWidth="1"/>
    <col min="8984" max="8984" width="19" style="13" bestFit="1" customWidth="1"/>
    <col min="8985" max="8985" width="9.109375" style="13"/>
    <col min="8986" max="8986" width="18.88671875" style="13" bestFit="1" customWidth="1"/>
    <col min="8987" max="9216" width="9.109375" style="13"/>
    <col min="9217" max="9217" width="10.5546875" style="13" bestFit="1" customWidth="1"/>
    <col min="9218" max="9218" width="44.109375" style="13" customWidth="1"/>
    <col min="9219" max="9219" width="14.6640625" style="13" customWidth="1"/>
    <col min="9220" max="9220" width="23.6640625" style="13" bestFit="1" customWidth="1"/>
    <col min="9221" max="9221" width="11.88671875" style="13" customWidth="1"/>
    <col min="9222" max="9222" width="20.6640625" style="13" customWidth="1"/>
    <col min="9223" max="9223" width="15.6640625" style="13" customWidth="1"/>
    <col min="9224" max="9225" width="16.109375" style="13" bestFit="1" customWidth="1"/>
    <col min="9226" max="9226" width="13.6640625" style="13" customWidth="1"/>
    <col min="9227" max="9227" width="12.6640625" style="13" bestFit="1" customWidth="1"/>
    <col min="9228" max="9228" width="15.5546875" style="13" customWidth="1"/>
    <col min="9229" max="9229" width="16.109375" style="13" bestFit="1" customWidth="1"/>
    <col min="9230" max="9230" width="13.33203125" style="13" bestFit="1" customWidth="1"/>
    <col min="9231" max="9231" width="16.33203125" style="13" bestFit="1" customWidth="1"/>
    <col min="9232" max="9232" width="9.33203125" style="13" bestFit="1" customWidth="1"/>
    <col min="9233" max="9233" width="13" style="13" bestFit="1" customWidth="1"/>
    <col min="9234" max="9234" width="20.109375" style="13" bestFit="1" customWidth="1"/>
    <col min="9235" max="9235" width="50.33203125" style="13" bestFit="1" customWidth="1"/>
    <col min="9236" max="9236" width="16.109375" style="13" bestFit="1" customWidth="1"/>
    <col min="9237" max="9237" width="12.33203125" style="13" customWidth="1"/>
    <col min="9238" max="9238" width="18.88671875" style="13" bestFit="1" customWidth="1"/>
    <col min="9239" max="9239" width="16.6640625" style="13" customWidth="1"/>
    <col min="9240" max="9240" width="19" style="13" bestFit="1" customWidth="1"/>
    <col min="9241" max="9241" width="9.109375" style="13"/>
    <col min="9242" max="9242" width="18.88671875" style="13" bestFit="1" customWidth="1"/>
    <col min="9243" max="9472" width="9.109375" style="13"/>
    <col min="9473" max="9473" width="10.5546875" style="13" bestFit="1" customWidth="1"/>
    <col min="9474" max="9474" width="44.109375" style="13" customWidth="1"/>
    <col min="9475" max="9475" width="14.6640625" style="13" customWidth="1"/>
    <col min="9476" max="9476" width="23.6640625" style="13" bestFit="1" customWidth="1"/>
    <col min="9477" max="9477" width="11.88671875" style="13" customWidth="1"/>
    <col min="9478" max="9478" width="20.6640625" style="13" customWidth="1"/>
    <col min="9479" max="9479" width="15.6640625" style="13" customWidth="1"/>
    <col min="9480" max="9481" width="16.109375" style="13" bestFit="1" customWidth="1"/>
    <col min="9482" max="9482" width="13.6640625" style="13" customWidth="1"/>
    <col min="9483" max="9483" width="12.6640625" style="13" bestFit="1" customWidth="1"/>
    <col min="9484" max="9484" width="15.5546875" style="13" customWidth="1"/>
    <col min="9485" max="9485" width="16.109375" style="13" bestFit="1" customWidth="1"/>
    <col min="9486" max="9486" width="13.33203125" style="13" bestFit="1" customWidth="1"/>
    <col min="9487" max="9487" width="16.33203125" style="13" bestFit="1" customWidth="1"/>
    <col min="9488" max="9488" width="9.33203125" style="13" bestFit="1" customWidth="1"/>
    <col min="9489" max="9489" width="13" style="13" bestFit="1" customWidth="1"/>
    <col min="9490" max="9490" width="20.109375" style="13" bestFit="1" customWidth="1"/>
    <col min="9491" max="9491" width="50.33203125" style="13" bestFit="1" customWidth="1"/>
    <col min="9492" max="9492" width="16.109375" style="13" bestFit="1" customWidth="1"/>
    <col min="9493" max="9493" width="12.33203125" style="13" customWidth="1"/>
    <col min="9494" max="9494" width="18.88671875" style="13" bestFit="1" customWidth="1"/>
    <col min="9495" max="9495" width="16.6640625" style="13" customWidth="1"/>
    <col min="9496" max="9496" width="19" style="13" bestFit="1" customWidth="1"/>
    <col min="9497" max="9497" width="9.109375" style="13"/>
    <col min="9498" max="9498" width="18.88671875" style="13" bestFit="1" customWidth="1"/>
    <col min="9499" max="9728" width="9.109375" style="13"/>
    <col min="9729" max="9729" width="10.5546875" style="13" bestFit="1" customWidth="1"/>
    <col min="9730" max="9730" width="44.109375" style="13" customWidth="1"/>
    <col min="9731" max="9731" width="14.6640625" style="13" customWidth="1"/>
    <col min="9732" max="9732" width="23.6640625" style="13" bestFit="1" customWidth="1"/>
    <col min="9733" max="9733" width="11.88671875" style="13" customWidth="1"/>
    <col min="9734" max="9734" width="20.6640625" style="13" customWidth="1"/>
    <col min="9735" max="9735" width="15.6640625" style="13" customWidth="1"/>
    <col min="9736" max="9737" width="16.109375" style="13" bestFit="1" customWidth="1"/>
    <col min="9738" max="9738" width="13.6640625" style="13" customWidth="1"/>
    <col min="9739" max="9739" width="12.6640625" style="13" bestFit="1" customWidth="1"/>
    <col min="9740" max="9740" width="15.5546875" style="13" customWidth="1"/>
    <col min="9741" max="9741" width="16.109375" style="13" bestFit="1" customWidth="1"/>
    <col min="9742" max="9742" width="13.33203125" style="13" bestFit="1" customWidth="1"/>
    <col min="9743" max="9743" width="16.33203125" style="13" bestFit="1" customWidth="1"/>
    <col min="9744" max="9744" width="9.33203125" style="13" bestFit="1" customWidth="1"/>
    <col min="9745" max="9745" width="13" style="13" bestFit="1" customWidth="1"/>
    <col min="9746" max="9746" width="20.109375" style="13" bestFit="1" customWidth="1"/>
    <col min="9747" max="9747" width="50.33203125" style="13" bestFit="1" customWidth="1"/>
    <col min="9748" max="9748" width="16.109375" style="13" bestFit="1" customWidth="1"/>
    <col min="9749" max="9749" width="12.33203125" style="13" customWidth="1"/>
    <col min="9750" max="9750" width="18.88671875" style="13" bestFit="1" customWidth="1"/>
    <col min="9751" max="9751" width="16.6640625" style="13" customWidth="1"/>
    <col min="9752" max="9752" width="19" style="13" bestFit="1" customWidth="1"/>
    <col min="9753" max="9753" width="9.109375" style="13"/>
    <col min="9754" max="9754" width="18.88671875" style="13" bestFit="1" customWidth="1"/>
    <col min="9755" max="9984" width="9.109375" style="13"/>
    <col min="9985" max="9985" width="10.5546875" style="13" bestFit="1" customWidth="1"/>
    <col min="9986" max="9986" width="44.109375" style="13" customWidth="1"/>
    <col min="9987" max="9987" width="14.6640625" style="13" customWidth="1"/>
    <col min="9988" max="9988" width="23.6640625" style="13" bestFit="1" customWidth="1"/>
    <col min="9989" max="9989" width="11.88671875" style="13" customWidth="1"/>
    <col min="9990" max="9990" width="20.6640625" style="13" customWidth="1"/>
    <col min="9991" max="9991" width="15.6640625" style="13" customWidth="1"/>
    <col min="9992" max="9993" width="16.109375" style="13" bestFit="1" customWidth="1"/>
    <col min="9994" max="9994" width="13.6640625" style="13" customWidth="1"/>
    <col min="9995" max="9995" width="12.6640625" style="13" bestFit="1" customWidth="1"/>
    <col min="9996" max="9996" width="15.5546875" style="13" customWidth="1"/>
    <col min="9997" max="9997" width="16.109375" style="13" bestFit="1" customWidth="1"/>
    <col min="9998" max="9998" width="13.33203125" style="13" bestFit="1" customWidth="1"/>
    <col min="9999" max="9999" width="16.33203125" style="13" bestFit="1" customWidth="1"/>
    <col min="10000" max="10000" width="9.33203125" style="13" bestFit="1" customWidth="1"/>
    <col min="10001" max="10001" width="13" style="13" bestFit="1" customWidth="1"/>
    <col min="10002" max="10002" width="20.109375" style="13" bestFit="1" customWidth="1"/>
    <col min="10003" max="10003" width="50.33203125" style="13" bestFit="1" customWidth="1"/>
    <col min="10004" max="10004" width="16.109375" style="13" bestFit="1" customWidth="1"/>
    <col min="10005" max="10005" width="12.33203125" style="13" customWidth="1"/>
    <col min="10006" max="10006" width="18.88671875" style="13" bestFit="1" customWidth="1"/>
    <col min="10007" max="10007" width="16.6640625" style="13" customWidth="1"/>
    <col min="10008" max="10008" width="19" style="13" bestFit="1" customWidth="1"/>
    <col min="10009" max="10009" width="9.109375" style="13"/>
    <col min="10010" max="10010" width="18.88671875" style="13" bestFit="1" customWidth="1"/>
    <col min="10011" max="10240" width="9.109375" style="13"/>
    <col min="10241" max="10241" width="10.5546875" style="13" bestFit="1" customWidth="1"/>
    <col min="10242" max="10242" width="44.109375" style="13" customWidth="1"/>
    <col min="10243" max="10243" width="14.6640625" style="13" customWidth="1"/>
    <col min="10244" max="10244" width="23.6640625" style="13" bestFit="1" customWidth="1"/>
    <col min="10245" max="10245" width="11.88671875" style="13" customWidth="1"/>
    <col min="10246" max="10246" width="20.6640625" style="13" customWidth="1"/>
    <col min="10247" max="10247" width="15.6640625" style="13" customWidth="1"/>
    <col min="10248" max="10249" width="16.109375" style="13" bestFit="1" customWidth="1"/>
    <col min="10250" max="10250" width="13.6640625" style="13" customWidth="1"/>
    <col min="10251" max="10251" width="12.6640625" style="13" bestFit="1" customWidth="1"/>
    <col min="10252" max="10252" width="15.5546875" style="13" customWidth="1"/>
    <col min="10253" max="10253" width="16.109375" style="13" bestFit="1" customWidth="1"/>
    <col min="10254" max="10254" width="13.33203125" style="13" bestFit="1" customWidth="1"/>
    <col min="10255" max="10255" width="16.33203125" style="13" bestFit="1" customWidth="1"/>
    <col min="10256" max="10256" width="9.33203125" style="13" bestFit="1" customWidth="1"/>
    <col min="10257" max="10257" width="13" style="13" bestFit="1" customWidth="1"/>
    <col min="10258" max="10258" width="20.109375" style="13" bestFit="1" customWidth="1"/>
    <col min="10259" max="10259" width="50.33203125" style="13" bestFit="1" customWidth="1"/>
    <col min="10260" max="10260" width="16.109375" style="13" bestFit="1" customWidth="1"/>
    <col min="10261" max="10261" width="12.33203125" style="13" customWidth="1"/>
    <col min="10262" max="10262" width="18.88671875" style="13" bestFit="1" customWidth="1"/>
    <col min="10263" max="10263" width="16.6640625" style="13" customWidth="1"/>
    <col min="10264" max="10264" width="19" style="13" bestFit="1" customWidth="1"/>
    <col min="10265" max="10265" width="9.109375" style="13"/>
    <col min="10266" max="10266" width="18.88671875" style="13" bestFit="1" customWidth="1"/>
    <col min="10267" max="10496" width="9.109375" style="13"/>
    <col min="10497" max="10497" width="10.5546875" style="13" bestFit="1" customWidth="1"/>
    <col min="10498" max="10498" width="44.109375" style="13" customWidth="1"/>
    <col min="10499" max="10499" width="14.6640625" style="13" customWidth="1"/>
    <col min="10500" max="10500" width="23.6640625" style="13" bestFit="1" customWidth="1"/>
    <col min="10501" max="10501" width="11.88671875" style="13" customWidth="1"/>
    <col min="10502" max="10502" width="20.6640625" style="13" customWidth="1"/>
    <col min="10503" max="10503" width="15.6640625" style="13" customWidth="1"/>
    <col min="10504" max="10505" width="16.109375" style="13" bestFit="1" customWidth="1"/>
    <col min="10506" max="10506" width="13.6640625" style="13" customWidth="1"/>
    <col min="10507" max="10507" width="12.6640625" style="13" bestFit="1" customWidth="1"/>
    <col min="10508" max="10508" width="15.5546875" style="13" customWidth="1"/>
    <col min="10509" max="10509" width="16.109375" style="13" bestFit="1" customWidth="1"/>
    <col min="10510" max="10510" width="13.33203125" style="13" bestFit="1" customWidth="1"/>
    <col min="10511" max="10511" width="16.33203125" style="13" bestFit="1" customWidth="1"/>
    <col min="10512" max="10512" width="9.33203125" style="13" bestFit="1" customWidth="1"/>
    <col min="10513" max="10513" width="13" style="13" bestFit="1" customWidth="1"/>
    <col min="10514" max="10514" width="20.109375" style="13" bestFit="1" customWidth="1"/>
    <col min="10515" max="10515" width="50.33203125" style="13" bestFit="1" customWidth="1"/>
    <col min="10516" max="10516" width="16.109375" style="13" bestFit="1" customWidth="1"/>
    <col min="10517" max="10517" width="12.33203125" style="13" customWidth="1"/>
    <col min="10518" max="10518" width="18.88671875" style="13" bestFit="1" customWidth="1"/>
    <col min="10519" max="10519" width="16.6640625" style="13" customWidth="1"/>
    <col min="10520" max="10520" width="19" style="13" bestFit="1" customWidth="1"/>
    <col min="10521" max="10521" width="9.109375" style="13"/>
    <col min="10522" max="10522" width="18.88671875" style="13" bestFit="1" customWidth="1"/>
    <col min="10523" max="10752" width="9.109375" style="13"/>
    <col min="10753" max="10753" width="10.5546875" style="13" bestFit="1" customWidth="1"/>
    <col min="10754" max="10754" width="44.109375" style="13" customWidth="1"/>
    <col min="10755" max="10755" width="14.6640625" style="13" customWidth="1"/>
    <col min="10756" max="10756" width="23.6640625" style="13" bestFit="1" customWidth="1"/>
    <col min="10757" max="10757" width="11.88671875" style="13" customWidth="1"/>
    <col min="10758" max="10758" width="20.6640625" style="13" customWidth="1"/>
    <col min="10759" max="10759" width="15.6640625" style="13" customWidth="1"/>
    <col min="10760" max="10761" width="16.109375" style="13" bestFit="1" customWidth="1"/>
    <col min="10762" max="10762" width="13.6640625" style="13" customWidth="1"/>
    <col min="10763" max="10763" width="12.6640625" style="13" bestFit="1" customWidth="1"/>
    <col min="10764" max="10764" width="15.5546875" style="13" customWidth="1"/>
    <col min="10765" max="10765" width="16.109375" style="13" bestFit="1" customWidth="1"/>
    <col min="10766" max="10766" width="13.33203125" style="13" bestFit="1" customWidth="1"/>
    <col min="10767" max="10767" width="16.33203125" style="13" bestFit="1" customWidth="1"/>
    <col min="10768" max="10768" width="9.33203125" style="13" bestFit="1" customWidth="1"/>
    <col min="10769" max="10769" width="13" style="13" bestFit="1" customWidth="1"/>
    <col min="10770" max="10770" width="20.109375" style="13" bestFit="1" customWidth="1"/>
    <col min="10771" max="10771" width="50.33203125" style="13" bestFit="1" customWidth="1"/>
    <col min="10772" max="10772" width="16.109375" style="13" bestFit="1" customWidth="1"/>
    <col min="10773" max="10773" width="12.33203125" style="13" customWidth="1"/>
    <col min="10774" max="10774" width="18.88671875" style="13" bestFit="1" customWidth="1"/>
    <col min="10775" max="10775" width="16.6640625" style="13" customWidth="1"/>
    <col min="10776" max="10776" width="19" style="13" bestFit="1" customWidth="1"/>
    <col min="10777" max="10777" width="9.109375" style="13"/>
    <col min="10778" max="10778" width="18.88671875" style="13" bestFit="1" customWidth="1"/>
    <col min="10779" max="11008" width="9.109375" style="13"/>
    <col min="11009" max="11009" width="10.5546875" style="13" bestFit="1" customWidth="1"/>
    <col min="11010" max="11010" width="44.109375" style="13" customWidth="1"/>
    <col min="11011" max="11011" width="14.6640625" style="13" customWidth="1"/>
    <col min="11012" max="11012" width="23.6640625" style="13" bestFit="1" customWidth="1"/>
    <col min="11013" max="11013" width="11.88671875" style="13" customWidth="1"/>
    <col min="11014" max="11014" width="20.6640625" style="13" customWidth="1"/>
    <col min="11015" max="11015" width="15.6640625" style="13" customWidth="1"/>
    <col min="11016" max="11017" width="16.109375" style="13" bestFit="1" customWidth="1"/>
    <col min="11018" max="11018" width="13.6640625" style="13" customWidth="1"/>
    <col min="11019" max="11019" width="12.6640625" style="13" bestFit="1" customWidth="1"/>
    <col min="11020" max="11020" width="15.5546875" style="13" customWidth="1"/>
    <col min="11021" max="11021" width="16.109375" style="13" bestFit="1" customWidth="1"/>
    <col min="11022" max="11022" width="13.33203125" style="13" bestFit="1" customWidth="1"/>
    <col min="11023" max="11023" width="16.33203125" style="13" bestFit="1" customWidth="1"/>
    <col min="11024" max="11024" width="9.33203125" style="13" bestFit="1" customWidth="1"/>
    <col min="11025" max="11025" width="13" style="13" bestFit="1" customWidth="1"/>
    <col min="11026" max="11026" width="20.109375" style="13" bestFit="1" customWidth="1"/>
    <col min="11027" max="11027" width="50.33203125" style="13" bestFit="1" customWidth="1"/>
    <col min="11028" max="11028" width="16.109375" style="13" bestFit="1" customWidth="1"/>
    <col min="11029" max="11029" width="12.33203125" style="13" customWidth="1"/>
    <col min="11030" max="11030" width="18.88671875" style="13" bestFit="1" customWidth="1"/>
    <col min="11031" max="11031" width="16.6640625" style="13" customWidth="1"/>
    <col min="11032" max="11032" width="19" style="13" bestFit="1" customWidth="1"/>
    <col min="11033" max="11033" width="9.109375" style="13"/>
    <col min="11034" max="11034" width="18.88671875" style="13" bestFit="1" customWidth="1"/>
    <col min="11035" max="11264" width="9.109375" style="13"/>
    <col min="11265" max="11265" width="10.5546875" style="13" bestFit="1" customWidth="1"/>
    <col min="11266" max="11266" width="44.109375" style="13" customWidth="1"/>
    <col min="11267" max="11267" width="14.6640625" style="13" customWidth="1"/>
    <col min="11268" max="11268" width="23.6640625" style="13" bestFit="1" customWidth="1"/>
    <col min="11269" max="11269" width="11.88671875" style="13" customWidth="1"/>
    <col min="11270" max="11270" width="20.6640625" style="13" customWidth="1"/>
    <col min="11271" max="11271" width="15.6640625" style="13" customWidth="1"/>
    <col min="11272" max="11273" width="16.109375" style="13" bestFit="1" customWidth="1"/>
    <col min="11274" max="11274" width="13.6640625" style="13" customWidth="1"/>
    <col min="11275" max="11275" width="12.6640625" style="13" bestFit="1" customWidth="1"/>
    <col min="11276" max="11276" width="15.5546875" style="13" customWidth="1"/>
    <col min="11277" max="11277" width="16.109375" style="13" bestFit="1" customWidth="1"/>
    <col min="11278" max="11278" width="13.33203125" style="13" bestFit="1" customWidth="1"/>
    <col min="11279" max="11279" width="16.33203125" style="13" bestFit="1" customWidth="1"/>
    <col min="11280" max="11280" width="9.33203125" style="13" bestFit="1" customWidth="1"/>
    <col min="11281" max="11281" width="13" style="13" bestFit="1" customWidth="1"/>
    <col min="11282" max="11282" width="20.109375" style="13" bestFit="1" customWidth="1"/>
    <col min="11283" max="11283" width="50.33203125" style="13" bestFit="1" customWidth="1"/>
    <col min="11284" max="11284" width="16.109375" style="13" bestFit="1" customWidth="1"/>
    <col min="11285" max="11285" width="12.33203125" style="13" customWidth="1"/>
    <col min="11286" max="11286" width="18.88671875" style="13" bestFit="1" customWidth="1"/>
    <col min="11287" max="11287" width="16.6640625" style="13" customWidth="1"/>
    <col min="11288" max="11288" width="19" style="13" bestFit="1" customWidth="1"/>
    <col min="11289" max="11289" width="9.109375" style="13"/>
    <col min="11290" max="11290" width="18.88671875" style="13" bestFit="1" customWidth="1"/>
    <col min="11291" max="11520" width="9.109375" style="13"/>
    <col min="11521" max="11521" width="10.5546875" style="13" bestFit="1" customWidth="1"/>
    <col min="11522" max="11522" width="44.109375" style="13" customWidth="1"/>
    <col min="11523" max="11523" width="14.6640625" style="13" customWidth="1"/>
    <col min="11524" max="11524" width="23.6640625" style="13" bestFit="1" customWidth="1"/>
    <col min="11525" max="11525" width="11.88671875" style="13" customWidth="1"/>
    <col min="11526" max="11526" width="20.6640625" style="13" customWidth="1"/>
    <col min="11527" max="11527" width="15.6640625" style="13" customWidth="1"/>
    <col min="11528" max="11529" width="16.109375" style="13" bestFit="1" customWidth="1"/>
    <col min="11530" max="11530" width="13.6640625" style="13" customWidth="1"/>
    <col min="11531" max="11531" width="12.6640625" style="13" bestFit="1" customWidth="1"/>
    <col min="11532" max="11532" width="15.5546875" style="13" customWidth="1"/>
    <col min="11533" max="11533" width="16.109375" style="13" bestFit="1" customWidth="1"/>
    <col min="11534" max="11534" width="13.33203125" style="13" bestFit="1" customWidth="1"/>
    <col min="11535" max="11535" width="16.33203125" style="13" bestFit="1" customWidth="1"/>
    <col min="11536" max="11536" width="9.33203125" style="13" bestFit="1" customWidth="1"/>
    <col min="11537" max="11537" width="13" style="13" bestFit="1" customWidth="1"/>
    <col min="11538" max="11538" width="20.109375" style="13" bestFit="1" customWidth="1"/>
    <col min="11539" max="11539" width="50.33203125" style="13" bestFit="1" customWidth="1"/>
    <col min="11540" max="11540" width="16.109375" style="13" bestFit="1" customWidth="1"/>
    <col min="11541" max="11541" width="12.33203125" style="13" customWidth="1"/>
    <col min="11542" max="11542" width="18.88671875" style="13" bestFit="1" customWidth="1"/>
    <col min="11543" max="11543" width="16.6640625" style="13" customWidth="1"/>
    <col min="11544" max="11544" width="19" style="13" bestFit="1" customWidth="1"/>
    <col min="11545" max="11545" width="9.109375" style="13"/>
    <col min="11546" max="11546" width="18.88671875" style="13" bestFit="1" customWidth="1"/>
    <col min="11547" max="11776" width="9.109375" style="13"/>
    <col min="11777" max="11777" width="10.5546875" style="13" bestFit="1" customWidth="1"/>
    <col min="11778" max="11778" width="44.109375" style="13" customWidth="1"/>
    <col min="11779" max="11779" width="14.6640625" style="13" customWidth="1"/>
    <col min="11780" max="11780" width="23.6640625" style="13" bestFit="1" customWidth="1"/>
    <col min="11781" max="11781" width="11.88671875" style="13" customWidth="1"/>
    <col min="11782" max="11782" width="20.6640625" style="13" customWidth="1"/>
    <col min="11783" max="11783" width="15.6640625" style="13" customWidth="1"/>
    <col min="11784" max="11785" width="16.109375" style="13" bestFit="1" customWidth="1"/>
    <col min="11786" max="11786" width="13.6640625" style="13" customWidth="1"/>
    <col min="11787" max="11787" width="12.6640625" style="13" bestFit="1" customWidth="1"/>
    <col min="11788" max="11788" width="15.5546875" style="13" customWidth="1"/>
    <col min="11789" max="11789" width="16.109375" style="13" bestFit="1" customWidth="1"/>
    <col min="11790" max="11790" width="13.33203125" style="13" bestFit="1" customWidth="1"/>
    <col min="11791" max="11791" width="16.33203125" style="13" bestFit="1" customWidth="1"/>
    <col min="11792" max="11792" width="9.33203125" style="13" bestFit="1" customWidth="1"/>
    <col min="11793" max="11793" width="13" style="13" bestFit="1" customWidth="1"/>
    <col min="11794" max="11794" width="20.109375" style="13" bestFit="1" customWidth="1"/>
    <col min="11795" max="11795" width="50.33203125" style="13" bestFit="1" customWidth="1"/>
    <col min="11796" max="11796" width="16.109375" style="13" bestFit="1" customWidth="1"/>
    <col min="11797" max="11797" width="12.33203125" style="13" customWidth="1"/>
    <col min="11798" max="11798" width="18.88671875" style="13" bestFit="1" customWidth="1"/>
    <col min="11799" max="11799" width="16.6640625" style="13" customWidth="1"/>
    <col min="11800" max="11800" width="19" style="13" bestFit="1" customWidth="1"/>
    <col min="11801" max="11801" width="9.109375" style="13"/>
    <col min="11802" max="11802" width="18.88671875" style="13" bestFit="1" customWidth="1"/>
    <col min="11803" max="12032" width="9.109375" style="13"/>
    <col min="12033" max="12033" width="10.5546875" style="13" bestFit="1" customWidth="1"/>
    <col min="12034" max="12034" width="44.109375" style="13" customWidth="1"/>
    <col min="12035" max="12035" width="14.6640625" style="13" customWidth="1"/>
    <col min="12036" max="12036" width="23.6640625" style="13" bestFit="1" customWidth="1"/>
    <col min="12037" max="12037" width="11.88671875" style="13" customWidth="1"/>
    <col min="12038" max="12038" width="20.6640625" style="13" customWidth="1"/>
    <col min="12039" max="12039" width="15.6640625" style="13" customWidth="1"/>
    <col min="12040" max="12041" width="16.109375" style="13" bestFit="1" customWidth="1"/>
    <col min="12042" max="12042" width="13.6640625" style="13" customWidth="1"/>
    <col min="12043" max="12043" width="12.6640625" style="13" bestFit="1" customWidth="1"/>
    <col min="12044" max="12044" width="15.5546875" style="13" customWidth="1"/>
    <col min="12045" max="12045" width="16.109375" style="13" bestFit="1" customWidth="1"/>
    <col min="12046" max="12046" width="13.33203125" style="13" bestFit="1" customWidth="1"/>
    <col min="12047" max="12047" width="16.33203125" style="13" bestFit="1" customWidth="1"/>
    <col min="12048" max="12048" width="9.33203125" style="13" bestFit="1" customWidth="1"/>
    <col min="12049" max="12049" width="13" style="13" bestFit="1" customWidth="1"/>
    <col min="12050" max="12050" width="20.109375" style="13" bestFit="1" customWidth="1"/>
    <col min="12051" max="12051" width="50.33203125" style="13" bestFit="1" customWidth="1"/>
    <col min="12052" max="12052" width="16.109375" style="13" bestFit="1" customWidth="1"/>
    <col min="12053" max="12053" width="12.33203125" style="13" customWidth="1"/>
    <col min="12054" max="12054" width="18.88671875" style="13" bestFit="1" customWidth="1"/>
    <col min="12055" max="12055" width="16.6640625" style="13" customWidth="1"/>
    <col min="12056" max="12056" width="19" style="13" bestFit="1" customWidth="1"/>
    <col min="12057" max="12057" width="9.109375" style="13"/>
    <col min="12058" max="12058" width="18.88671875" style="13" bestFit="1" customWidth="1"/>
    <col min="12059" max="12288" width="9.109375" style="13"/>
    <col min="12289" max="12289" width="10.5546875" style="13" bestFit="1" customWidth="1"/>
    <col min="12290" max="12290" width="44.109375" style="13" customWidth="1"/>
    <col min="12291" max="12291" width="14.6640625" style="13" customWidth="1"/>
    <col min="12292" max="12292" width="23.6640625" style="13" bestFit="1" customWidth="1"/>
    <col min="12293" max="12293" width="11.88671875" style="13" customWidth="1"/>
    <col min="12294" max="12294" width="20.6640625" style="13" customWidth="1"/>
    <col min="12295" max="12295" width="15.6640625" style="13" customWidth="1"/>
    <col min="12296" max="12297" width="16.109375" style="13" bestFit="1" customWidth="1"/>
    <col min="12298" max="12298" width="13.6640625" style="13" customWidth="1"/>
    <col min="12299" max="12299" width="12.6640625" style="13" bestFit="1" customWidth="1"/>
    <col min="12300" max="12300" width="15.5546875" style="13" customWidth="1"/>
    <col min="12301" max="12301" width="16.109375" style="13" bestFit="1" customWidth="1"/>
    <col min="12302" max="12302" width="13.33203125" style="13" bestFit="1" customWidth="1"/>
    <col min="12303" max="12303" width="16.33203125" style="13" bestFit="1" customWidth="1"/>
    <col min="12304" max="12304" width="9.33203125" style="13" bestFit="1" customWidth="1"/>
    <col min="12305" max="12305" width="13" style="13" bestFit="1" customWidth="1"/>
    <col min="12306" max="12306" width="20.109375" style="13" bestFit="1" customWidth="1"/>
    <col min="12307" max="12307" width="50.33203125" style="13" bestFit="1" customWidth="1"/>
    <col min="12308" max="12308" width="16.109375" style="13" bestFit="1" customWidth="1"/>
    <col min="12309" max="12309" width="12.33203125" style="13" customWidth="1"/>
    <col min="12310" max="12310" width="18.88671875" style="13" bestFit="1" customWidth="1"/>
    <col min="12311" max="12311" width="16.6640625" style="13" customWidth="1"/>
    <col min="12312" max="12312" width="19" style="13" bestFit="1" customWidth="1"/>
    <col min="12313" max="12313" width="9.109375" style="13"/>
    <col min="12314" max="12314" width="18.88671875" style="13" bestFit="1" customWidth="1"/>
    <col min="12315" max="12544" width="9.109375" style="13"/>
    <col min="12545" max="12545" width="10.5546875" style="13" bestFit="1" customWidth="1"/>
    <col min="12546" max="12546" width="44.109375" style="13" customWidth="1"/>
    <col min="12547" max="12547" width="14.6640625" style="13" customWidth="1"/>
    <col min="12548" max="12548" width="23.6640625" style="13" bestFit="1" customWidth="1"/>
    <col min="12549" max="12549" width="11.88671875" style="13" customWidth="1"/>
    <col min="12550" max="12550" width="20.6640625" style="13" customWidth="1"/>
    <col min="12551" max="12551" width="15.6640625" style="13" customWidth="1"/>
    <col min="12552" max="12553" width="16.109375" style="13" bestFit="1" customWidth="1"/>
    <col min="12554" max="12554" width="13.6640625" style="13" customWidth="1"/>
    <col min="12555" max="12555" width="12.6640625" style="13" bestFit="1" customWidth="1"/>
    <col min="12556" max="12556" width="15.5546875" style="13" customWidth="1"/>
    <col min="12557" max="12557" width="16.109375" style="13" bestFit="1" customWidth="1"/>
    <col min="12558" max="12558" width="13.33203125" style="13" bestFit="1" customWidth="1"/>
    <col min="12559" max="12559" width="16.33203125" style="13" bestFit="1" customWidth="1"/>
    <col min="12560" max="12560" width="9.33203125" style="13" bestFit="1" customWidth="1"/>
    <col min="12561" max="12561" width="13" style="13" bestFit="1" customWidth="1"/>
    <col min="12562" max="12562" width="20.109375" style="13" bestFit="1" customWidth="1"/>
    <col min="12563" max="12563" width="50.33203125" style="13" bestFit="1" customWidth="1"/>
    <col min="12564" max="12564" width="16.109375" style="13" bestFit="1" customWidth="1"/>
    <col min="12565" max="12565" width="12.33203125" style="13" customWidth="1"/>
    <col min="12566" max="12566" width="18.88671875" style="13" bestFit="1" customWidth="1"/>
    <col min="12567" max="12567" width="16.6640625" style="13" customWidth="1"/>
    <col min="12568" max="12568" width="19" style="13" bestFit="1" customWidth="1"/>
    <col min="12569" max="12569" width="9.109375" style="13"/>
    <col min="12570" max="12570" width="18.88671875" style="13" bestFit="1" customWidth="1"/>
    <col min="12571" max="12800" width="9.109375" style="13"/>
    <col min="12801" max="12801" width="10.5546875" style="13" bestFit="1" customWidth="1"/>
    <col min="12802" max="12802" width="44.109375" style="13" customWidth="1"/>
    <col min="12803" max="12803" width="14.6640625" style="13" customWidth="1"/>
    <col min="12804" max="12804" width="23.6640625" style="13" bestFit="1" customWidth="1"/>
    <col min="12805" max="12805" width="11.88671875" style="13" customWidth="1"/>
    <col min="12806" max="12806" width="20.6640625" style="13" customWidth="1"/>
    <col min="12807" max="12807" width="15.6640625" style="13" customWidth="1"/>
    <col min="12808" max="12809" width="16.109375" style="13" bestFit="1" customWidth="1"/>
    <col min="12810" max="12810" width="13.6640625" style="13" customWidth="1"/>
    <col min="12811" max="12811" width="12.6640625" style="13" bestFit="1" customWidth="1"/>
    <col min="12812" max="12812" width="15.5546875" style="13" customWidth="1"/>
    <col min="12813" max="12813" width="16.109375" style="13" bestFit="1" customWidth="1"/>
    <col min="12814" max="12814" width="13.33203125" style="13" bestFit="1" customWidth="1"/>
    <col min="12815" max="12815" width="16.33203125" style="13" bestFit="1" customWidth="1"/>
    <col min="12816" max="12816" width="9.33203125" style="13" bestFit="1" customWidth="1"/>
    <col min="12817" max="12817" width="13" style="13" bestFit="1" customWidth="1"/>
    <col min="12818" max="12818" width="20.109375" style="13" bestFit="1" customWidth="1"/>
    <col min="12819" max="12819" width="50.33203125" style="13" bestFit="1" customWidth="1"/>
    <col min="12820" max="12820" width="16.109375" style="13" bestFit="1" customWidth="1"/>
    <col min="12821" max="12821" width="12.33203125" style="13" customWidth="1"/>
    <col min="12822" max="12822" width="18.88671875" style="13" bestFit="1" customWidth="1"/>
    <col min="12823" max="12823" width="16.6640625" style="13" customWidth="1"/>
    <col min="12824" max="12824" width="19" style="13" bestFit="1" customWidth="1"/>
    <col min="12825" max="12825" width="9.109375" style="13"/>
    <col min="12826" max="12826" width="18.88671875" style="13" bestFit="1" customWidth="1"/>
    <col min="12827" max="13056" width="9.109375" style="13"/>
    <col min="13057" max="13057" width="10.5546875" style="13" bestFit="1" customWidth="1"/>
    <col min="13058" max="13058" width="44.109375" style="13" customWidth="1"/>
    <col min="13059" max="13059" width="14.6640625" style="13" customWidth="1"/>
    <col min="13060" max="13060" width="23.6640625" style="13" bestFit="1" customWidth="1"/>
    <col min="13061" max="13061" width="11.88671875" style="13" customWidth="1"/>
    <col min="13062" max="13062" width="20.6640625" style="13" customWidth="1"/>
    <col min="13063" max="13063" width="15.6640625" style="13" customWidth="1"/>
    <col min="13064" max="13065" width="16.109375" style="13" bestFit="1" customWidth="1"/>
    <col min="13066" max="13066" width="13.6640625" style="13" customWidth="1"/>
    <col min="13067" max="13067" width="12.6640625" style="13" bestFit="1" customWidth="1"/>
    <col min="13068" max="13068" width="15.5546875" style="13" customWidth="1"/>
    <col min="13069" max="13069" width="16.109375" style="13" bestFit="1" customWidth="1"/>
    <col min="13070" max="13070" width="13.33203125" style="13" bestFit="1" customWidth="1"/>
    <col min="13071" max="13071" width="16.33203125" style="13" bestFit="1" customWidth="1"/>
    <col min="13072" max="13072" width="9.33203125" style="13" bestFit="1" customWidth="1"/>
    <col min="13073" max="13073" width="13" style="13" bestFit="1" customWidth="1"/>
    <col min="13074" max="13074" width="20.109375" style="13" bestFit="1" customWidth="1"/>
    <col min="13075" max="13075" width="50.33203125" style="13" bestFit="1" customWidth="1"/>
    <col min="13076" max="13076" width="16.109375" style="13" bestFit="1" customWidth="1"/>
    <col min="13077" max="13077" width="12.33203125" style="13" customWidth="1"/>
    <col min="13078" max="13078" width="18.88671875" style="13" bestFit="1" customWidth="1"/>
    <col min="13079" max="13079" width="16.6640625" style="13" customWidth="1"/>
    <col min="13080" max="13080" width="19" style="13" bestFit="1" customWidth="1"/>
    <col min="13081" max="13081" width="9.109375" style="13"/>
    <col min="13082" max="13082" width="18.88671875" style="13" bestFit="1" customWidth="1"/>
    <col min="13083" max="13312" width="9.109375" style="13"/>
    <col min="13313" max="13313" width="10.5546875" style="13" bestFit="1" customWidth="1"/>
    <col min="13314" max="13314" width="44.109375" style="13" customWidth="1"/>
    <col min="13315" max="13315" width="14.6640625" style="13" customWidth="1"/>
    <col min="13316" max="13316" width="23.6640625" style="13" bestFit="1" customWidth="1"/>
    <col min="13317" max="13317" width="11.88671875" style="13" customWidth="1"/>
    <col min="13318" max="13318" width="20.6640625" style="13" customWidth="1"/>
    <col min="13319" max="13319" width="15.6640625" style="13" customWidth="1"/>
    <col min="13320" max="13321" width="16.109375" style="13" bestFit="1" customWidth="1"/>
    <col min="13322" max="13322" width="13.6640625" style="13" customWidth="1"/>
    <col min="13323" max="13323" width="12.6640625" style="13" bestFit="1" customWidth="1"/>
    <col min="13324" max="13324" width="15.5546875" style="13" customWidth="1"/>
    <col min="13325" max="13325" width="16.109375" style="13" bestFit="1" customWidth="1"/>
    <col min="13326" max="13326" width="13.33203125" style="13" bestFit="1" customWidth="1"/>
    <col min="13327" max="13327" width="16.33203125" style="13" bestFit="1" customWidth="1"/>
    <col min="13328" max="13328" width="9.33203125" style="13" bestFit="1" customWidth="1"/>
    <col min="13329" max="13329" width="13" style="13" bestFit="1" customWidth="1"/>
    <col min="13330" max="13330" width="20.109375" style="13" bestFit="1" customWidth="1"/>
    <col min="13331" max="13331" width="50.33203125" style="13" bestFit="1" customWidth="1"/>
    <col min="13332" max="13332" width="16.109375" style="13" bestFit="1" customWidth="1"/>
    <col min="13333" max="13333" width="12.33203125" style="13" customWidth="1"/>
    <col min="13334" max="13334" width="18.88671875" style="13" bestFit="1" customWidth="1"/>
    <col min="13335" max="13335" width="16.6640625" style="13" customWidth="1"/>
    <col min="13336" max="13336" width="19" style="13" bestFit="1" customWidth="1"/>
    <col min="13337" max="13337" width="9.109375" style="13"/>
    <col min="13338" max="13338" width="18.88671875" style="13" bestFit="1" customWidth="1"/>
    <col min="13339" max="13568" width="9.109375" style="13"/>
    <col min="13569" max="13569" width="10.5546875" style="13" bestFit="1" customWidth="1"/>
    <col min="13570" max="13570" width="44.109375" style="13" customWidth="1"/>
    <col min="13571" max="13571" width="14.6640625" style="13" customWidth="1"/>
    <col min="13572" max="13572" width="23.6640625" style="13" bestFit="1" customWidth="1"/>
    <col min="13573" max="13573" width="11.88671875" style="13" customWidth="1"/>
    <col min="13574" max="13574" width="20.6640625" style="13" customWidth="1"/>
    <col min="13575" max="13575" width="15.6640625" style="13" customWidth="1"/>
    <col min="13576" max="13577" width="16.109375" style="13" bestFit="1" customWidth="1"/>
    <col min="13578" max="13578" width="13.6640625" style="13" customWidth="1"/>
    <col min="13579" max="13579" width="12.6640625" style="13" bestFit="1" customWidth="1"/>
    <col min="13580" max="13580" width="15.5546875" style="13" customWidth="1"/>
    <col min="13581" max="13581" width="16.109375" style="13" bestFit="1" customWidth="1"/>
    <col min="13582" max="13582" width="13.33203125" style="13" bestFit="1" customWidth="1"/>
    <col min="13583" max="13583" width="16.33203125" style="13" bestFit="1" customWidth="1"/>
    <col min="13584" max="13584" width="9.33203125" style="13" bestFit="1" customWidth="1"/>
    <col min="13585" max="13585" width="13" style="13" bestFit="1" customWidth="1"/>
    <col min="13586" max="13586" width="20.109375" style="13" bestFit="1" customWidth="1"/>
    <col min="13587" max="13587" width="50.33203125" style="13" bestFit="1" customWidth="1"/>
    <col min="13588" max="13588" width="16.109375" style="13" bestFit="1" customWidth="1"/>
    <col min="13589" max="13589" width="12.33203125" style="13" customWidth="1"/>
    <col min="13590" max="13590" width="18.88671875" style="13" bestFit="1" customWidth="1"/>
    <col min="13591" max="13591" width="16.6640625" style="13" customWidth="1"/>
    <col min="13592" max="13592" width="19" style="13" bestFit="1" customWidth="1"/>
    <col min="13593" max="13593" width="9.109375" style="13"/>
    <col min="13594" max="13594" width="18.88671875" style="13" bestFit="1" customWidth="1"/>
    <col min="13595" max="13824" width="9.109375" style="13"/>
    <col min="13825" max="13825" width="10.5546875" style="13" bestFit="1" customWidth="1"/>
    <col min="13826" max="13826" width="44.109375" style="13" customWidth="1"/>
    <col min="13827" max="13827" width="14.6640625" style="13" customWidth="1"/>
    <col min="13828" max="13828" width="23.6640625" style="13" bestFit="1" customWidth="1"/>
    <col min="13829" max="13829" width="11.88671875" style="13" customWidth="1"/>
    <col min="13830" max="13830" width="20.6640625" style="13" customWidth="1"/>
    <col min="13831" max="13831" width="15.6640625" style="13" customWidth="1"/>
    <col min="13832" max="13833" width="16.109375" style="13" bestFit="1" customWidth="1"/>
    <col min="13834" max="13834" width="13.6640625" style="13" customWidth="1"/>
    <col min="13835" max="13835" width="12.6640625" style="13" bestFit="1" customWidth="1"/>
    <col min="13836" max="13836" width="15.5546875" style="13" customWidth="1"/>
    <col min="13837" max="13837" width="16.109375" style="13" bestFit="1" customWidth="1"/>
    <col min="13838" max="13838" width="13.33203125" style="13" bestFit="1" customWidth="1"/>
    <col min="13839" max="13839" width="16.33203125" style="13" bestFit="1" customWidth="1"/>
    <col min="13840" max="13840" width="9.33203125" style="13" bestFit="1" customWidth="1"/>
    <col min="13841" max="13841" width="13" style="13" bestFit="1" customWidth="1"/>
    <col min="13842" max="13842" width="20.109375" style="13" bestFit="1" customWidth="1"/>
    <col min="13843" max="13843" width="50.33203125" style="13" bestFit="1" customWidth="1"/>
    <col min="13844" max="13844" width="16.109375" style="13" bestFit="1" customWidth="1"/>
    <col min="13845" max="13845" width="12.33203125" style="13" customWidth="1"/>
    <col min="13846" max="13846" width="18.88671875" style="13" bestFit="1" customWidth="1"/>
    <col min="13847" max="13847" width="16.6640625" style="13" customWidth="1"/>
    <col min="13848" max="13848" width="19" style="13" bestFit="1" customWidth="1"/>
    <col min="13849" max="13849" width="9.109375" style="13"/>
    <col min="13850" max="13850" width="18.88671875" style="13" bestFit="1" customWidth="1"/>
    <col min="13851" max="14080" width="9.109375" style="13"/>
    <col min="14081" max="14081" width="10.5546875" style="13" bestFit="1" customWidth="1"/>
    <col min="14082" max="14082" width="44.109375" style="13" customWidth="1"/>
    <col min="14083" max="14083" width="14.6640625" style="13" customWidth="1"/>
    <col min="14084" max="14084" width="23.6640625" style="13" bestFit="1" customWidth="1"/>
    <col min="14085" max="14085" width="11.88671875" style="13" customWidth="1"/>
    <col min="14086" max="14086" width="20.6640625" style="13" customWidth="1"/>
    <col min="14087" max="14087" width="15.6640625" style="13" customWidth="1"/>
    <col min="14088" max="14089" width="16.109375" style="13" bestFit="1" customWidth="1"/>
    <col min="14090" max="14090" width="13.6640625" style="13" customWidth="1"/>
    <col min="14091" max="14091" width="12.6640625" style="13" bestFit="1" customWidth="1"/>
    <col min="14092" max="14092" width="15.5546875" style="13" customWidth="1"/>
    <col min="14093" max="14093" width="16.109375" style="13" bestFit="1" customWidth="1"/>
    <col min="14094" max="14094" width="13.33203125" style="13" bestFit="1" customWidth="1"/>
    <col min="14095" max="14095" width="16.33203125" style="13" bestFit="1" customWidth="1"/>
    <col min="14096" max="14096" width="9.33203125" style="13" bestFit="1" customWidth="1"/>
    <col min="14097" max="14097" width="13" style="13" bestFit="1" customWidth="1"/>
    <col min="14098" max="14098" width="20.109375" style="13" bestFit="1" customWidth="1"/>
    <col min="14099" max="14099" width="50.33203125" style="13" bestFit="1" customWidth="1"/>
    <col min="14100" max="14100" width="16.109375" style="13" bestFit="1" customWidth="1"/>
    <col min="14101" max="14101" width="12.33203125" style="13" customWidth="1"/>
    <col min="14102" max="14102" width="18.88671875" style="13" bestFit="1" customWidth="1"/>
    <col min="14103" max="14103" width="16.6640625" style="13" customWidth="1"/>
    <col min="14104" max="14104" width="19" style="13" bestFit="1" customWidth="1"/>
    <col min="14105" max="14105" width="9.109375" style="13"/>
    <col min="14106" max="14106" width="18.88671875" style="13" bestFit="1" customWidth="1"/>
    <col min="14107" max="14336" width="9.109375" style="13"/>
    <col min="14337" max="14337" width="10.5546875" style="13" bestFit="1" customWidth="1"/>
    <col min="14338" max="14338" width="44.109375" style="13" customWidth="1"/>
    <col min="14339" max="14339" width="14.6640625" style="13" customWidth="1"/>
    <col min="14340" max="14340" width="23.6640625" style="13" bestFit="1" customWidth="1"/>
    <col min="14341" max="14341" width="11.88671875" style="13" customWidth="1"/>
    <col min="14342" max="14342" width="20.6640625" style="13" customWidth="1"/>
    <col min="14343" max="14343" width="15.6640625" style="13" customWidth="1"/>
    <col min="14344" max="14345" width="16.109375" style="13" bestFit="1" customWidth="1"/>
    <col min="14346" max="14346" width="13.6640625" style="13" customWidth="1"/>
    <col min="14347" max="14347" width="12.6640625" style="13" bestFit="1" customWidth="1"/>
    <col min="14348" max="14348" width="15.5546875" style="13" customWidth="1"/>
    <col min="14349" max="14349" width="16.109375" style="13" bestFit="1" customWidth="1"/>
    <col min="14350" max="14350" width="13.33203125" style="13" bestFit="1" customWidth="1"/>
    <col min="14351" max="14351" width="16.33203125" style="13" bestFit="1" customWidth="1"/>
    <col min="14352" max="14352" width="9.33203125" style="13" bestFit="1" customWidth="1"/>
    <col min="14353" max="14353" width="13" style="13" bestFit="1" customWidth="1"/>
    <col min="14354" max="14354" width="20.109375" style="13" bestFit="1" customWidth="1"/>
    <col min="14355" max="14355" width="50.33203125" style="13" bestFit="1" customWidth="1"/>
    <col min="14356" max="14356" width="16.109375" style="13" bestFit="1" customWidth="1"/>
    <col min="14357" max="14357" width="12.33203125" style="13" customWidth="1"/>
    <col min="14358" max="14358" width="18.88671875" style="13" bestFit="1" customWidth="1"/>
    <col min="14359" max="14359" width="16.6640625" style="13" customWidth="1"/>
    <col min="14360" max="14360" width="19" style="13" bestFit="1" customWidth="1"/>
    <col min="14361" max="14361" width="9.109375" style="13"/>
    <col min="14362" max="14362" width="18.88671875" style="13" bestFit="1" customWidth="1"/>
    <col min="14363" max="14592" width="9.109375" style="13"/>
    <col min="14593" max="14593" width="10.5546875" style="13" bestFit="1" customWidth="1"/>
    <col min="14594" max="14594" width="44.109375" style="13" customWidth="1"/>
    <col min="14595" max="14595" width="14.6640625" style="13" customWidth="1"/>
    <col min="14596" max="14596" width="23.6640625" style="13" bestFit="1" customWidth="1"/>
    <col min="14597" max="14597" width="11.88671875" style="13" customWidth="1"/>
    <col min="14598" max="14598" width="20.6640625" style="13" customWidth="1"/>
    <col min="14599" max="14599" width="15.6640625" style="13" customWidth="1"/>
    <col min="14600" max="14601" width="16.109375" style="13" bestFit="1" customWidth="1"/>
    <col min="14602" max="14602" width="13.6640625" style="13" customWidth="1"/>
    <col min="14603" max="14603" width="12.6640625" style="13" bestFit="1" customWidth="1"/>
    <col min="14604" max="14604" width="15.5546875" style="13" customWidth="1"/>
    <col min="14605" max="14605" width="16.109375" style="13" bestFit="1" customWidth="1"/>
    <col min="14606" max="14606" width="13.33203125" style="13" bestFit="1" customWidth="1"/>
    <col min="14607" max="14607" width="16.33203125" style="13" bestFit="1" customWidth="1"/>
    <col min="14608" max="14608" width="9.33203125" style="13" bestFit="1" customWidth="1"/>
    <col min="14609" max="14609" width="13" style="13" bestFit="1" customWidth="1"/>
    <col min="14610" max="14610" width="20.109375" style="13" bestFit="1" customWidth="1"/>
    <col min="14611" max="14611" width="50.33203125" style="13" bestFit="1" customWidth="1"/>
    <col min="14612" max="14612" width="16.109375" style="13" bestFit="1" customWidth="1"/>
    <col min="14613" max="14613" width="12.33203125" style="13" customWidth="1"/>
    <col min="14614" max="14614" width="18.88671875" style="13" bestFit="1" customWidth="1"/>
    <col min="14615" max="14615" width="16.6640625" style="13" customWidth="1"/>
    <col min="14616" max="14616" width="19" style="13" bestFit="1" customWidth="1"/>
    <col min="14617" max="14617" width="9.109375" style="13"/>
    <col min="14618" max="14618" width="18.88671875" style="13" bestFit="1" customWidth="1"/>
    <col min="14619" max="14848" width="9.109375" style="13"/>
    <col min="14849" max="14849" width="10.5546875" style="13" bestFit="1" customWidth="1"/>
    <col min="14850" max="14850" width="44.109375" style="13" customWidth="1"/>
    <col min="14851" max="14851" width="14.6640625" style="13" customWidth="1"/>
    <col min="14852" max="14852" width="23.6640625" style="13" bestFit="1" customWidth="1"/>
    <col min="14853" max="14853" width="11.88671875" style="13" customWidth="1"/>
    <col min="14854" max="14854" width="20.6640625" style="13" customWidth="1"/>
    <col min="14855" max="14855" width="15.6640625" style="13" customWidth="1"/>
    <col min="14856" max="14857" width="16.109375" style="13" bestFit="1" customWidth="1"/>
    <col min="14858" max="14858" width="13.6640625" style="13" customWidth="1"/>
    <col min="14859" max="14859" width="12.6640625" style="13" bestFit="1" customWidth="1"/>
    <col min="14860" max="14860" width="15.5546875" style="13" customWidth="1"/>
    <col min="14861" max="14861" width="16.109375" style="13" bestFit="1" customWidth="1"/>
    <col min="14862" max="14862" width="13.33203125" style="13" bestFit="1" customWidth="1"/>
    <col min="14863" max="14863" width="16.33203125" style="13" bestFit="1" customWidth="1"/>
    <col min="14864" max="14864" width="9.33203125" style="13" bestFit="1" customWidth="1"/>
    <col min="14865" max="14865" width="13" style="13" bestFit="1" customWidth="1"/>
    <col min="14866" max="14866" width="20.109375" style="13" bestFit="1" customWidth="1"/>
    <col min="14867" max="14867" width="50.33203125" style="13" bestFit="1" customWidth="1"/>
    <col min="14868" max="14868" width="16.109375" style="13" bestFit="1" customWidth="1"/>
    <col min="14869" max="14869" width="12.33203125" style="13" customWidth="1"/>
    <col min="14870" max="14870" width="18.88671875" style="13" bestFit="1" customWidth="1"/>
    <col min="14871" max="14871" width="16.6640625" style="13" customWidth="1"/>
    <col min="14872" max="14872" width="19" style="13" bestFit="1" customWidth="1"/>
    <col min="14873" max="14873" width="9.109375" style="13"/>
    <col min="14874" max="14874" width="18.88671875" style="13" bestFit="1" customWidth="1"/>
    <col min="14875" max="15104" width="9.109375" style="13"/>
    <col min="15105" max="15105" width="10.5546875" style="13" bestFit="1" customWidth="1"/>
    <col min="15106" max="15106" width="44.109375" style="13" customWidth="1"/>
    <col min="15107" max="15107" width="14.6640625" style="13" customWidth="1"/>
    <col min="15108" max="15108" width="23.6640625" style="13" bestFit="1" customWidth="1"/>
    <col min="15109" max="15109" width="11.88671875" style="13" customWidth="1"/>
    <col min="15110" max="15110" width="20.6640625" style="13" customWidth="1"/>
    <col min="15111" max="15111" width="15.6640625" style="13" customWidth="1"/>
    <col min="15112" max="15113" width="16.109375" style="13" bestFit="1" customWidth="1"/>
    <col min="15114" max="15114" width="13.6640625" style="13" customWidth="1"/>
    <col min="15115" max="15115" width="12.6640625" style="13" bestFit="1" customWidth="1"/>
    <col min="15116" max="15116" width="15.5546875" style="13" customWidth="1"/>
    <col min="15117" max="15117" width="16.109375" style="13" bestFit="1" customWidth="1"/>
    <col min="15118" max="15118" width="13.33203125" style="13" bestFit="1" customWidth="1"/>
    <col min="15119" max="15119" width="16.33203125" style="13" bestFit="1" customWidth="1"/>
    <col min="15120" max="15120" width="9.33203125" style="13" bestFit="1" customWidth="1"/>
    <col min="15121" max="15121" width="13" style="13" bestFit="1" customWidth="1"/>
    <col min="15122" max="15122" width="20.109375" style="13" bestFit="1" customWidth="1"/>
    <col min="15123" max="15123" width="50.33203125" style="13" bestFit="1" customWidth="1"/>
    <col min="15124" max="15124" width="16.109375" style="13" bestFit="1" customWidth="1"/>
    <col min="15125" max="15125" width="12.33203125" style="13" customWidth="1"/>
    <col min="15126" max="15126" width="18.88671875" style="13" bestFit="1" customWidth="1"/>
    <col min="15127" max="15127" width="16.6640625" style="13" customWidth="1"/>
    <col min="15128" max="15128" width="19" style="13" bestFit="1" customWidth="1"/>
    <col min="15129" max="15129" width="9.109375" style="13"/>
    <col min="15130" max="15130" width="18.88671875" style="13" bestFit="1" customWidth="1"/>
    <col min="15131" max="15360" width="9.109375" style="13"/>
    <col min="15361" max="15361" width="10.5546875" style="13" bestFit="1" customWidth="1"/>
    <col min="15362" max="15362" width="44.109375" style="13" customWidth="1"/>
    <col min="15363" max="15363" width="14.6640625" style="13" customWidth="1"/>
    <col min="15364" max="15364" width="23.6640625" style="13" bestFit="1" customWidth="1"/>
    <col min="15365" max="15365" width="11.88671875" style="13" customWidth="1"/>
    <col min="15366" max="15366" width="20.6640625" style="13" customWidth="1"/>
    <col min="15367" max="15367" width="15.6640625" style="13" customWidth="1"/>
    <col min="15368" max="15369" width="16.109375" style="13" bestFit="1" customWidth="1"/>
    <col min="15370" max="15370" width="13.6640625" style="13" customWidth="1"/>
    <col min="15371" max="15371" width="12.6640625" style="13" bestFit="1" customWidth="1"/>
    <col min="15372" max="15372" width="15.5546875" style="13" customWidth="1"/>
    <col min="15373" max="15373" width="16.109375" style="13" bestFit="1" customWidth="1"/>
    <col min="15374" max="15374" width="13.33203125" style="13" bestFit="1" customWidth="1"/>
    <col min="15375" max="15375" width="16.33203125" style="13" bestFit="1" customWidth="1"/>
    <col min="15376" max="15376" width="9.33203125" style="13" bestFit="1" customWidth="1"/>
    <col min="15377" max="15377" width="13" style="13" bestFit="1" customWidth="1"/>
    <col min="15378" max="15378" width="20.109375" style="13" bestFit="1" customWidth="1"/>
    <col min="15379" max="15379" width="50.33203125" style="13" bestFit="1" customWidth="1"/>
    <col min="15380" max="15380" width="16.109375" style="13" bestFit="1" customWidth="1"/>
    <col min="15381" max="15381" width="12.33203125" style="13" customWidth="1"/>
    <col min="15382" max="15382" width="18.88671875" style="13" bestFit="1" customWidth="1"/>
    <col min="15383" max="15383" width="16.6640625" style="13" customWidth="1"/>
    <col min="15384" max="15384" width="19" style="13" bestFit="1" customWidth="1"/>
    <col min="15385" max="15385" width="9.109375" style="13"/>
    <col min="15386" max="15386" width="18.88671875" style="13" bestFit="1" customWidth="1"/>
    <col min="15387" max="15616" width="9.109375" style="13"/>
    <col min="15617" max="15617" width="10.5546875" style="13" bestFit="1" customWidth="1"/>
    <col min="15618" max="15618" width="44.109375" style="13" customWidth="1"/>
    <col min="15619" max="15619" width="14.6640625" style="13" customWidth="1"/>
    <col min="15620" max="15620" width="23.6640625" style="13" bestFit="1" customWidth="1"/>
    <col min="15621" max="15621" width="11.88671875" style="13" customWidth="1"/>
    <col min="15622" max="15622" width="20.6640625" style="13" customWidth="1"/>
    <col min="15623" max="15623" width="15.6640625" style="13" customWidth="1"/>
    <col min="15624" max="15625" width="16.109375" style="13" bestFit="1" customWidth="1"/>
    <col min="15626" max="15626" width="13.6640625" style="13" customWidth="1"/>
    <col min="15627" max="15627" width="12.6640625" style="13" bestFit="1" customWidth="1"/>
    <col min="15628" max="15628" width="15.5546875" style="13" customWidth="1"/>
    <col min="15629" max="15629" width="16.109375" style="13" bestFit="1" customWidth="1"/>
    <col min="15630" max="15630" width="13.33203125" style="13" bestFit="1" customWidth="1"/>
    <col min="15631" max="15631" width="16.33203125" style="13" bestFit="1" customWidth="1"/>
    <col min="15632" max="15632" width="9.33203125" style="13" bestFit="1" customWidth="1"/>
    <col min="15633" max="15633" width="13" style="13" bestFit="1" customWidth="1"/>
    <col min="15634" max="15634" width="20.109375" style="13" bestFit="1" customWidth="1"/>
    <col min="15635" max="15635" width="50.33203125" style="13" bestFit="1" customWidth="1"/>
    <col min="15636" max="15636" width="16.109375" style="13" bestFit="1" customWidth="1"/>
    <col min="15637" max="15637" width="12.33203125" style="13" customWidth="1"/>
    <col min="15638" max="15638" width="18.88671875" style="13" bestFit="1" customWidth="1"/>
    <col min="15639" max="15639" width="16.6640625" style="13" customWidth="1"/>
    <col min="15640" max="15640" width="19" style="13" bestFit="1" customWidth="1"/>
    <col min="15641" max="15641" width="9.109375" style="13"/>
    <col min="15642" max="15642" width="18.88671875" style="13" bestFit="1" customWidth="1"/>
    <col min="15643" max="15872" width="9.109375" style="13"/>
    <col min="15873" max="15873" width="10.5546875" style="13" bestFit="1" customWidth="1"/>
    <col min="15874" max="15874" width="44.109375" style="13" customWidth="1"/>
    <col min="15875" max="15875" width="14.6640625" style="13" customWidth="1"/>
    <col min="15876" max="15876" width="23.6640625" style="13" bestFit="1" customWidth="1"/>
    <col min="15877" max="15877" width="11.88671875" style="13" customWidth="1"/>
    <col min="15878" max="15878" width="20.6640625" style="13" customWidth="1"/>
    <col min="15879" max="15879" width="15.6640625" style="13" customWidth="1"/>
    <col min="15880" max="15881" width="16.109375" style="13" bestFit="1" customWidth="1"/>
    <col min="15882" max="15882" width="13.6640625" style="13" customWidth="1"/>
    <col min="15883" max="15883" width="12.6640625" style="13" bestFit="1" customWidth="1"/>
    <col min="15884" max="15884" width="15.5546875" style="13" customWidth="1"/>
    <col min="15885" max="15885" width="16.109375" style="13" bestFit="1" customWidth="1"/>
    <col min="15886" max="15886" width="13.33203125" style="13" bestFit="1" customWidth="1"/>
    <col min="15887" max="15887" width="16.33203125" style="13" bestFit="1" customWidth="1"/>
    <col min="15888" max="15888" width="9.33203125" style="13" bestFit="1" customWidth="1"/>
    <col min="15889" max="15889" width="13" style="13" bestFit="1" customWidth="1"/>
    <col min="15890" max="15890" width="20.109375" style="13" bestFit="1" customWidth="1"/>
    <col min="15891" max="15891" width="50.33203125" style="13" bestFit="1" customWidth="1"/>
    <col min="15892" max="15892" width="16.109375" style="13" bestFit="1" customWidth="1"/>
    <col min="15893" max="15893" width="12.33203125" style="13" customWidth="1"/>
    <col min="15894" max="15894" width="18.88671875" style="13" bestFit="1" customWidth="1"/>
    <col min="15895" max="15895" width="16.6640625" style="13" customWidth="1"/>
    <col min="15896" max="15896" width="19" style="13" bestFit="1" customWidth="1"/>
    <col min="15897" max="15897" width="9.109375" style="13"/>
    <col min="15898" max="15898" width="18.88671875" style="13" bestFit="1" customWidth="1"/>
    <col min="15899" max="16128" width="9.109375" style="13"/>
    <col min="16129" max="16129" width="10.5546875" style="13" bestFit="1" customWidth="1"/>
    <col min="16130" max="16130" width="44.109375" style="13" customWidth="1"/>
    <col min="16131" max="16131" width="14.6640625" style="13" customWidth="1"/>
    <col min="16132" max="16132" width="23.6640625" style="13" bestFit="1" customWidth="1"/>
    <col min="16133" max="16133" width="11.88671875" style="13" customWidth="1"/>
    <col min="16134" max="16134" width="20.6640625" style="13" customWidth="1"/>
    <col min="16135" max="16135" width="15.6640625" style="13" customWidth="1"/>
    <col min="16136" max="16137" width="16.109375" style="13" bestFit="1" customWidth="1"/>
    <col min="16138" max="16138" width="13.6640625" style="13" customWidth="1"/>
    <col min="16139" max="16139" width="12.6640625" style="13" bestFit="1" customWidth="1"/>
    <col min="16140" max="16140" width="15.5546875" style="13" customWidth="1"/>
    <col min="16141" max="16141" width="16.109375" style="13" bestFit="1" customWidth="1"/>
    <col min="16142" max="16142" width="13.33203125" style="13" bestFit="1" customWidth="1"/>
    <col min="16143" max="16143" width="16.33203125" style="13" bestFit="1" customWidth="1"/>
    <col min="16144" max="16144" width="9.33203125" style="13" bestFit="1" customWidth="1"/>
    <col min="16145" max="16145" width="13" style="13" bestFit="1" customWidth="1"/>
    <col min="16146" max="16146" width="20.109375" style="13" bestFit="1" customWidth="1"/>
    <col min="16147" max="16147" width="50.33203125" style="13" bestFit="1" customWidth="1"/>
    <col min="16148" max="16148" width="16.109375" style="13" bestFit="1" customWidth="1"/>
    <col min="16149" max="16149" width="12.33203125" style="13" customWidth="1"/>
    <col min="16150" max="16150" width="18.88671875" style="13" bestFit="1" customWidth="1"/>
    <col min="16151" max="16151" width="16.6640625" style="13" customWidth="1"/>
    <col min="16152" max="16152" width="19" style="13" bestFit="1" customWidth="1"/>
    <col min="16153" max="16153" width="9.109375" style="13"/>
    <col min="16154" max="16154" width="18.88671875" style="13" bestFit="1" customWidth="1"/>
    <col min="16155" max="16384" width="9.109375" style="13"/>
  </cols>
  <sheetData>
    <row r="1" spans="1:26">
      <c r="J1" s="16"/>
      <c r="K1" s="16"/>
      <c r="L1" s="16"/>
    </row>
    <row r="2" spans="1:26" ht="17.399999999999999">
      <c r="A2" s="208" t="s">
        <v>226</v>
      </c>
      <c r="J2" s="207"/>
      <c r="K2" s="16"/>
      <c r="L2" s="16"/>
    </row>
    <row r="3" spans="1:26" ht="14.4" thickBot="1">
      <c r="A3" s="9" t="s">
        <v>132</v>
      </c>
      <c r="H3" s="49"/>
      <c r="J3" s="206"/>
      <c r="K3" s="16"/>
      <c r="L3" s="16"/>
    </row>
    <row r="4" spans="1:26" ht="16.2" thickBot="1">
      <c r="A4" s="92"/>
      <c r="B4" s="90"/>
      <c r="C4" s="90" t="s">
        <v>225</v>
      </c>
      <c r="D4" s="205" t="e">
        <f>L218</f>
        <v>#REF!</v>
      </c>
      <c r="H4" s="49"/>
      <c r="J4" s="194"/>
      <c r="K4" s="204"/>
      <c r="L4" s="16"/>
    </row>
    <row r="5" spans="1:26">
      <c r="A5" s="94"/>
      <c r="B5" s="94"/>
      <c r="C5" s="94"/>
      <c r="D5" s="94"/>
      <c r="E5" s="94"/>
      <c r="F5" s="94"/>
      <c r="H5" s="49"/>
      <c r="J5" s="16"/>
      <c r="K5" s="193"/>
      <c r="L5" s="48"/>
      <c r="M5" s="49"/>
      <c r="N5" s="49"/>
      <c r="O5" s="49"/>
      <c r="P5" s="49"/>
      <c r="Q5" s="49"/>
      <c r="R5" s="49"/>
      <c r="S5" s="49"/>
      <c r="T5" s="203"/>
      <c r="U5" s="203"/>
      <c r="V5" s="203"/>
      <c r="W5" s="203"/>
      <c r="X5" s="203"/>
    </row>
    <row r="6" spans="1:26" ht="14.4">
      <c r="A6" s="94"/>
      <c r="B6" s="202"/>
      <c r="C6" s="201"/>
      <c r="D6" s="200"/>
      <c r="E6" s="201"/>
      <c r="F6" s="200" t="s">
        <v>99</v>
      </c>
      <c r="H6" s="49"/>
      <c r="J6" s="16"/>
      <c r="K6" s="193"/>
      <c r="L6" s="48"/>
      <c r="M6" s="49"/>
      <c r="N6" s="49"/>
      <c r="O6" s="49"/>
      <c r="P6" s="49"/>
      <c r="Q6" s="49"/>
      <c r="R6" s="49"/>
      <c r="S6" s="49"/>
      <c r="T6" s="199"/>
      <c r="X6" s="198"/>
      <c r="Z6" s="192"/>
    </row>
    <row r="7" spans="1:26" ht="15.6">
      <c r="A7" s="100"/>
      <c r="B7" s="197"/>
      <c r="C7" s="197"/>
      <c r="D7" s="9"/>
      <c r="E7" s="196" t="s">
        <v>224</v>
      </c>
      <c r="F7" s="195" t="e">
        <f>L214</f>
        <v>#REF!</v>
      </c>
      <c r="H7" s="49"/>
      <c r="J7" s="194"/>
      <c r="K7" s="193"/>
      <c r="L7" s="48"/>
      <c r="M7" s="49"/>
      <c r="N7" s="49"/>
      <c r="O7" s="49"/>
      <c r="P7" s="49"/>
      <c r="Q7" s="49"/>
      <c r="R7" s="49"/>
      <c r="S7" s="49"/>
      <c r="T7" s="86"/>
      <c r="Z7" s="192"/>
    </row>
    <row r="8" spans="1:26" ht="14.4">
      <c r="A8" s="93"/>
      <c r="B8" s="93"/>
      <c r="H8" s="49"/>
      <c r="J8" s="16"/>
      <c r="K8" s="48"/>
      <c r="L8" s="48"/>
      <c r="M8" s="49"/>
      <c r="N8" s="49"/>
      <c r="O8" s="49"/>
      <c r="P8" s="49"/>
      <c r="Q8" s="49"/>
      <c r="R8" s="49"/>
      <c r="S8" s="49"/>
      <c r="Z8" s="192"/>
    </row>
    <row r="9" spans="1:26" ht="14.4">
      <c r="H9" s="49"/>
      <c r="J9" s="16"/>
      <c r="K9" s="48"/>
      <c r="L9" s="48"/>
      <c r="M9" s="49"/>
      <c r="N9" s="49"/>
      <c r="O9" s="49"/>
      <c r="P9" s="49"/>
      <c r="Q9" s="49"/>
      <c r="R9" s="49"/>
      <c r="S9" s="49"/>
      <c r="Z9" s="192"/>
    </row>
    <row r="10" spans="1:26" ht="14.4">
      <c r="H10" s="49"/>
      <c r="J10" s="16"/>
      <c r="K10" s="48"/>
      <c r="L10" s="48"/>
      <c r="M10" s="49"/>
      <c r="N10" s="49"/>
      <c r="O10" s="49"/>
      <c r="P10" s="49"/>
      <c r="Q10" s="49"/>
      <c r="R10" s="49"/>
      <c r="S10" s="49"/>
      <c r="T10" s="190"/>
      <c r="X10" s="190"/>
      <c r="Z10" s="192"/>
    </row>
    <row r="11" spans="1:26">
      <c r="H11" s="49"/>
      <c r="J11" s="16"/>
      <c r="K11" s="48"/>
      <c r="L11" s="48"/>
      <c r="M11" s="49"/>
      <c r="N11" s="49"/>
      <c r="O11" s="49"/>
      <c r="P11" s="49"/>
      <c r="Q11" s="49"/>
      <c r="R11" s="49"/>
      <c r="S11" s="49"/>
      <c r="Z11" s="49"/>
    </row>
    <row r="12" spans="1:26">
      <c r="B12" s="150" t="s">
        <v>223</v>
      </c>
      <c r="H12" s="49"/>
      <c r="K12" s="49"/>
      <c r="L12" s="49"/>
      <c r="M12" s="49"/>
      <c r="N12" s="49"/>
      <c r="O12" s="49"/>
      <c r="P12" s="49"/>
      <c r="Q12" s="49"/>
      <c r="R12" s="49"/>
      <c r="S12" s="49"/>
      <c r="Z12" s="49"/>
    </row>
    <row r="13" spans="1:26">
      <c r="B13" s="124"/>
      <c r="H13" s="49"/>
      <c r="K13" s="49"/>
      <c r="L13" s="49"/>
      <c r="M13" s="49"/>
      <c r="N13" s="49"/>
      <c r="O13" s="49"/>
      <c r="P13" s="49"/>
      <c r="Q13" s="49"/>
      <c r="R13" s="49"/>
      <c r="S13" s="49"/>
      <c r="Z13" s="49"/>
    </row>
    <row r="14" spans="1:26">
      <c r="B14" s="129" t="s">
        <v>222</v>
      </c>
      <c r="C14" s="94"/>
      <c r="D14" s="94"/>
      <c r="E14" s="94"/>
      <c r="H14" s="49"/>
      <c r="K14" s="49"/>
      <c r="L14" s="49"/>
      <c r="M14" s="49"/>
      <c r="N14" s="49"/>
      <c r="O14" s="49"/>
      <c r="P14" s="49"/>
      <c r="Q14" s="49"/>
      <c r="R14" s="49"/>
      <c r="S14" s="49"/>
      <c r="Z14" s="49"/>
    </row>
    <row r="15" spans="1:26" ht="14.4">
      <c r="B15" s="139" t="s">
        <v>172</v>
      </c>
      <c r="C15" s="139"/>
      <c r="D15" s="191">
        <v>14101.476000000001</v>
      </c>
      <c r="E15" s="141" t="s">
        <v>171</v>
      </c>
      <c r="F15" s="49"/>
      <c r="H15" s="49"/>
      <c r="K15" s="49"/>
      <c r="L15" s="49"/>
      <c r="M15" s="49"/>
      <c r="N15" s="49"/>
      <c r="O15" s="49"/>
      <c r="P15" s="49"/>
      <c r="Q15" s="49"/>
      <c r="R15" s="49"/>
      <c r="S15" s="49"/>
      <c r="T15" s="190"/>
      <c r="V15" s="190"/>
      <c r="X15" s="190"/>
      <c r="Z15" s="190"/>
    </row>
    <row r="16" spans="1:26" ht="14.4">
      <c r="B16" s="139" t="s">
        <v>170</v>
      </c>
      <c r="C16" s="139"/>
      <c r="D16" s="191">
        <v>146</v>
      </c>
      <c r="E16" s="141" t="s">
        <v>169</v>
      </c>
      <c r="F16" s="49"/>
      <c r="H16" s="49"/>
      <c r="K16" s="49"/>
      <c r="L16" s="49"/>
      <c r="M16" s="49"/>
      <c r="N16" s="49"/>
      <c r="O16" s="49"/>
      <c r="P16" s="49"/>
      <c r="Q16" s="49"/>
      <c r="R16" s="49"/>
      <c r="S16" s="49"/>
      <c r="T16" s="190"/>
      <c r="V16" s="190"/>
      <c r="X16" s="190"/>
      <c r="Z16" s="190"/>
    </row>
    <row r="17" spans="1:26" ht="14.4">
      <c r="B17" s="139" t="s">
        <v>168</v>
      </c>
      <c r="C17" s="139"/>
      <c r="D17" s="191">
        <v>2337</v>
      </c>
      <c r="E17" s="141" t="s">
        <v>103</v>
      </c>
      <c r="F17" s="49"/>
      <c r="H17" s="49"/>
      <c r="K17" s="49"/>
      <c r="L17" s="49"/>
      <c r="M17" s="49"/>
      <c r="N17" s="49"/>
      <c r="O17" s="49"/>
      <c r="P17" s="49"/>
      <c r="Q17" s="49"/>
      <c r="R17" s="49"/>
      <c r="S17" s="49"/>
      <c r="T17" s="190"/>
      <c r="V17" s="190"/>
      <c r="X17" s="190"/>
      <c r="Z17" s="190"/>
    </row>
    <row r="18" spans="1:26" ht="14.4">
      <c r="B18" s="139" t="s">
        <v>167</v>
      </c>
      <c r="C18" s="139"/>
      <c r="D18" s="191" t="e">
        <f>IF(#REF!=1,27095983,22134200+1012466)</f>
        <v>#REF!</v>
      </c>
      <c r="E18" s="141" t="s">
        <v>166</v>
      </c>
      <c r="F18" s="49"/>
      <c r="H18" s="49"/>
      <c r="K18" s="49"/>
      <c r="L18" s="49"/>
      <c r="M18" s="49"/>
      <c r="N18" s="49"/>
      <c r="O18" s="49"/>
      <c r="P18" s="49"/>
      <c r="Q18" s="49"/>
      <c r="R18" s="49"/>
      <c r="S18" s="49"/>
      <c r="T18" s="190"/>
      <c r="V18" s="190"/>
      <c r="X18" s="190"/>
      <c r="Z18" s="190"/>
    </row>
    <row r="19" spans="1:26">
      <c r="B19" s="94"/>
      <c r="C19" s="94"/>
      <c r="D19" s="107"/>
      <c r="E19" s="141"/>
      <c r="F19" s="49"/>
      <c r="H19" s="49"/>
      <c r="K19" s="49"/>
      <c r="L19" s="49"/>
      <c r="M19" s="49"/>
      <c r="N19" s="49"/>
      <c r="O19" s="49"/>
      <c r="P19" s="188"/>
      <c r="Q19" s="49"/>
      <c r="R19" s="49"/>
      <c r="S19" s="49"/>
      <c r="Z19" s="49"/>
    </row>
    <row r="20" spans="1:26" ht="14.4">
      <c r="B20" s="94"/>
      <c r="C20" s="94"/>
      <c r="D20" s="107"/>
      <c r="E20" s="141"/>
      <c r="H20" s="49"/>
      <c r="K20" s="49"/>
      <c r="L20" s="49"/>
      <c r="M20" s="49"/>
      <c r="N20" s="49"/>
      <c r="O20" s="189"/>
      <c r="P20" s="188"/>
      <c r="Q20" s="49"/>
      <c r="R20" s="49"/>
      <c r="S20" s="49"/>
      <c r="Z20" s="49"/>
    </row>
    <row r="21" spans="1:26" ht="14.4">
      <c r="H21" s="49"/>
      <c r="K21" s="49"/>
      <c r="L21" s="49"/>
      <c r="M21" s="48"/>
      <c r="N21" s="48"/>
      <c r="O21" s="174"/>
      <c r="P21" s="48"/>
      <c r="Q21" s="48"/>
      <c r="R21" s="48"/>
      <c r="S21" s="48"/>
      <c r="Z21" s="49"/>
    </row>
    <row r="22" spans="1:26" s="87" customFormat="1" ht="14.4">
      <c r="M22" s="186"/>
      <c r="N22" s="186"/>
      <c r="O22" s="187"/>
      <c r="P22" s="186"/>
      <c r="Q22" s="186"/>
      <c r="R22" s="186"/>
      <c r="S22" s="186"/>
    </row>
    <row r="23" spans="1:26" ht="14.4">
      <c r="G23" s="49"/>
      <c r="H23" s="49"/>
      <c r="I23" s="49"/>
      <c r="J23" s="49"/>
      <c r="K23" s="185"/>
      <c r="L23" s="49"/>
      <c r="M23" s="48"/>
      <c r="N23" s="48"/>
      <c r="O23" s="174"/>
      <c r="P23" s="48"/>
      <c r="Q23" s="48"/>
      <c r="R23" s="48"/>
      <c r="S23" s="48"/>
      <c r="T23" s="49"/>
      <c r="U23" s="49"/>
      <c r="V23" s="49"/>
      <c r="W23" s="49"/>
      <c r="X23" s="49"/>
      <c r="Y23" s="49"/>
      <c r="Z23" s="49"/>
    </row>
    <row r="24" spans="1:26">
      <c r="B24" s="94" t="s">
        <v>221</v>
      </c>
      <c r="G24" s="49"/>
      <c r="H24" s="49"/>
      <c r="I24" s="49"/>
      <c r="J24" s="49"/>
      <c r="K24" s="49"/>
      <c r="L24" s="49"/>
      <c r="M24" s="48"/>
      <c r="N24" s="48"/>
      <c r="O24" s="48"/>
      <c r="P24" s="48"/>
      <c r="Q24" s="48"/>
      <c r="R24" s="48"/>
      <c r="S24" s="48"/>
      <c r="T24" s="49"/>
      <c r="U24" s="49"/>
      <c r="V24" s="49"/>
      <c r="W24" s="49"/>
      <c r="X24" s="49"/>
      <c r="Y24" s="49"/>
      <c r="Z24" s="49"/>
    </row>
    <row r="25" spans="1:26">
      <c r="D25" s="104"/>
      <c r="G25" s="49"/>
      <c r="H25" s="49"/>
      <c r="I25" s="49"/>
      <c r="J25" s="49"/>
      <c r="K25" s="49"/>
      <c r="L25" s="49"/>
      <c r="M25" s="48"/>
      <c r="N25" s="48"/>
      <c r="O25" s="48"/>
      <c r="P25" s="48"/>
      <c r="Q25" s="48"/>
      <c r="R25" s="48"/>
      <c r="S25" s="48"/>
      <c r="T25" s="49"/>
      <c r="U25" s="49"/>
      <c r="V25" s="49"/>
      <c r="W25" s="49"/>
      <c r="X25" s="49"/>
      <c r="Y25" s="49"/>
      <c r="Z25" s="49"/>
    </row>
    <row r="26" spans="1:26">
      <c r="A26" s="184" t="s">
        <v>0</v>
      </c>
      <c r="B26" s="183"/>
      <c r="C26" s="182"/>
      <c r="D26" s="176" t="s">
        <v>218</v>
      </c>
      <c r="E26" s="181" t="s">
        <v>220</v>
      </c>
      <c r="F26" s="181"/>
      <c r="K26" s="49"/>
      <c r="L26" s="49"/>
      <c r="M26" s="48"/>
      <c r="N26" s="48"/>
      <c r="O26" s="48"/>
      <c r="P26" s="48"/>
      <c r="Q26" s="48"/>
      <c r="R26" s="48"/>
      <c r="S26" s="48"/>
      <c r="T26" s="49"/>
      <c r="U26" s="49"/>
      <c r="V26" s="49"/>
      <c r="W26" s="49"/>
      <c r="X26" s="49"/>
      <c r="Y26" s="49"/>
      <c r="Z26" s="49"/>
    </row>
    <row r="27" spans="1:26">
      <c r="A27" s="180" t="s">
        <v>2</v>
      </c>
      <c r="B27" s="180"/>
      <c r="C27" s="179" t="s">
        <v>219</v>
      </c>
      <c r="D27" s="178" t="s">
        <v>81</v>
      </c>
      <c r="E27" s="178" t="s">
        <v>218</v>
      </c>
      <c r="F27" s="175"/>
      <c r="K27" s="49"/>
      <c r="M27" s="48"/>
      <c r="N27" s="48"/>
      <c r="O27" s="48"/>
      <c r="P27" s="48"/>
      <c r="Q27" s="48"/>
      <c r="R27" s="48"/>
      <c r="S27" s="48"/>
      <c r="T27" s="49"/>
      <c r="U27" s="49"/>
      <c r="V27" s="49"/>
      <c r="W27" s="49"/>
      <c r="X27" s="49"/>
      <c r="Y27" s="49"/>
      <c r="Z27" s="49"/>
    </row>
    <row r="28" spans="1:26">
      <c r="A28" s="177"/>
      <c r="B28" s="177" t="s">
        <v>4</v>
      </c>
      <c r="C28" s="177" t="s">
        <v>5</v>
      </c>
      <c r="D28" s="176" t="s">
        <v>6</v>
      </c>
      <c r="E28" s="176" t="s">
        <v>7</v>
      </c>
      <c r="F28" s="175"/>
      <c r="K28" s="49"/>
      <c r="M28" s="48"/>
      <c r="N28" s="48"/>
      <c r="O28" s="48"/>
      <c r="P28" s="48"/>
      <c r="Q28" s="48"/>
      <c r="R28" s="48"/>
      <c r="S28" s="48"/>
      <c r="T28" s="49"/>
      <c r="U28" s="49"/>
      <c r="V28" s="49"/>
      <c r="W28" s="49"/>
      <c r="X28" s="49"/>
      <c r="Y28" s="49"/>
      <c r="Z28" s="49"/>
    </row>
    <row r="29" spans="1:26">
      <c r="A29" s="167">
        <v>1</v>
      </c>
      <c r="B29" s="169" t="s">
        <v>217</v>
      </c>
      <c r="C29" s="169" t="e">
        <f>SUM(D29:E29)</f>
        <v>#REF!</v>
      </c>
      <c r="D29" s="159" t="e">
        <f>#REF!</f>
        <v>#REF!</v>
      </c>
      <c r="E29" s="159" t="e">
        <f>#REF!</f>
        <v>#REF!</v>
      </c>
      <c r="F29" s="163"/>
      <c r="G29" s="176" t="s">
        <v>218</v>
      </c>
      <c r="H29" s="181" t="s">
        <v>220</v>
      </c>
      <c r="K29" s="49"/>
      <c r="M29" s="48"/>
      <c r="N29" s="48"/>
      <c r="O29" s="48"/>
      <c r="P29" s="48"/>
      <c r="Q29" s="48"/>
      <c r="R29" s="48"/>
      <c r="S29" s="48"/>
      <c r="T29" s="49"/>
      <c r="U29" s="49"/>
      <c r="V29" s="49"/>
      <c r="W29" s="49"/>
      <c r="X29" s="49"/>
      <c r="Y29" s="49"/>
      <c r="Z29" s="49"/>
    </row>
    <row r="30" spans="1:26" ht="14.4">
      <c r="A30" s="167">
        <v>2</v>
      </c>
      <c r="B30" s="174" t="s">
        <v>216</v>
      </c>
      <c r="C30" s="169" t="e">
        <f>SUM(D30:E30)</f>
        <v>#REF!</v>
      </c>
      <c r="D30" s="159" t="e">
        <f>#REF!</f>
        <v>#REF!</v>
      </c>
      <c r="E30" s="159" t="e">
        <f>#REF!</f>
        <v>#REF!</v>
      </c>
      <c r="F30" s="163"/>
      <c r="G30" s="178" t="s">
        <v>81</v>
      </c>
      <c r="H30" s="178" t="s">
        <v>218</v>
      </c>
      <c r="K30" s="49"/>
      <c r="R30" s="49"/>
      <c r="S30" s="49"/>
      <c r="T30" s="49"/>
      <c r="U30" s="49"/>
      <c r="V30" s="49"/>
      <c r="W30" s="49"/>
      <c r="X30" s="49"/>
      <c r="Y30" s="49"/>
      <c r="Z30" s="49"/>
    </row>
    <row r="31" spans="1:26" ht="14.4">
      <c r="A31" s="167"/>
      <c r="B31" s="174"/>
      <c r="C31" s="169"/>
      <c r="D31" s="159"/>
      <c r="E31" s="159"/>
      <c r="F31" s="163"/>
      <c r="G31" s="173"/>
      <c r="K31" s="49"/>
      <c r="R31" s="49"/>
      <c r="S31" s="49"/>
      <c r="T31" s="49"/>
      <c r="U31" s="49"/>
      <c r="V31" s="49"/>
      <c r="W31" s="49"/>
      <c r="X31" s="49"/>
      <c r="Y31" s="49"/>
      <c r="Z31" s="49"/>
    </row>
    <row r="32" spans="1:26">
      <c r="A32" s="167">
        <v>3</v>
      </c>
      <c r="B32" s="169" t="s">
        <v>215</v>
      </c>
      <c r="C32" s="164" t="e">
        <f>#REF!</f>
        <v>#REF!</v>
      </c>
      <c r="D32" s="164" t="e">
        <f>$C$32*G32</f>
        <v>#REF!</v>
      </c>
      <c r="E32" s="164" t="e">
        <f>$C$32*H32</f>
        <v>#REF!</v>
      </c>
      <c r="F32" s="163"/>
      <c r="G32" s="265" t="e">
        <f>#REF!</f>
        <v>#REF!</v>
      </c>
      <c r="H32" s="265" t="e">
        <f>#REF!</f>
        <v>#REF!</v>
      </c>
      <c r="K32" s="49"/>
      <c r="R32" s="49"/>
      <c r="S32" s="49"/>
      <c r="T32" s="49"/>
      <c r="U32" s="49"/>
      <c r="V32" s="49"/>
      <c r="W32" s="49"/>
      <c r="X32" s="49"/>
      <c r="Y32" s="49"/>
      <c r="Z32" s="49"/>
    </row>
    <row r="33" spans="1:26">
      <c r="B33" s="166"/>
      <c r="C33" s="172"/>
      <c r="D33" s="171"/>
      <c r="E33" s="171"/>
      <c r="F33" s="16"/>
      <c r="G33" s="9"/>
      <c r="H33" s="9"/>
      <c r="I33" s="121"/>
      <c r="K33" s="49"/>
      <c r="R33" s="49"/>
      <c r="S33" s="49"/>
      <c r="T33" s="49"/>
      <c r="U33" s="49"/>
      <c r="V33" s="49"/>
      <c r="W33" s="49"/>
      <c r="X33" s="49"/>
      <c r="Y33" s="49"/>
      <c r="Z33" s="49"/>
    </row>
    <row r="34" spans="1:26">
      <c r="A34" s="167"/>
      <c r="B34" s="170"/>
      <c r="C34" s="169"/>
      <c r="D34" s="169"/>
      <c r="E34" s="169"/>
      <c r="F34" s="163"/>
      <c r="G34" s="9"/>
      <c r="H34" s="9"/>
      <c r="K34" s="49"/>
      <c r="R34" s="49"/>
      <c r="S34" s="49"/>
      <c r="T34" s="49"/>
      <c r="U34" s="49"/>
      <c r="V34" s="49"/>
      <c r="W34" s="49"/>
      <c r="X34" s="49"/>
      <c r="Y34" s="49"/>
      <c r="Z34" s="49"/>
    </row>
    <row r="35" spans="1:26">
      <c r="A35" s="167"/>
      <c r="B35" s="166" t="s">
        <v>262</v>
      </c>
      <c r="C35" s="168" t="e">
        <f>#REF!*-1000</f>
        <v>#REF!</v>
      </c>
      <c r="D35" s="168" t="e">
        <f>$C$35*G35</f>
        <v>#REF!</v>
      </c>
      <c r="E35" s="168" t="e">
        <f>$C$35*H35</f>
        <v>#REF!</v>
      </c>
      <c r="F35" s="163"/>
      <c r="G35" s="265" t="e">
        <f>G32</f>
        <v>#REF!</v>
      </c>
      <c r="H35" s="265" t="e">
        <f>H32</f>
        <v>#REF!</v>
      </c>
      <c r="K35" s="49"/>
      <c r="R35" s="49"/>
      <c r="S35" s="49"/>
      <c r="T35" s="49"/>
      <c r="U35" s="49"/>
      <c r="V35" s="49"/>
      <c r="W35" s="49"/>
      <c r="X35" s="49"/>
      <c r="Y35" s="49"/>
      <c r="Z35" s="49"/>
    </row>
    <row r="36" spans="1:26">
      <c r="A36" s="167"/>
      <c r="B36" s="166" t="s">
        <v>261</v>
      </c>
      <c r="C36" s="165" t="e">
        <f>C32+C35</f>
        <v>#REF!</v>
      </c>
      <c r="D36" s="164" t="e">
        <f>D35+D32</f>
        <v>#REF!</v>
      </c>
      <c r="E36" s="164" t="e">
        <f>E35+E32</f>
        <v>#REF!</v>
      </c>
      <c r="F36" s="163"/>
      <c r="K36" s="49"/>
      <c r="R36" s="49"/>
      <c r="S36" s="49"/>
      <c r="T36" s="49"/>
      <c r="U36" s="49"/>
      <c r="V36" s="49"/>
      <c r="W36" s="49"/>
      <c r="X36" s="49"/>
      <c r="Y36" s="49"/>
      <c r="Z36" s="49"/>
    </row>
    <row r="37" spans="1:26">
      <c r="I37" s="162"/>
      <c r="K37" s="49"/>
      <c r="R37" s="49"/>
      <c r="S37" s="49"/>
      <c r="T37" s="49"/>
      <c r="U37" s="49"/>
      <c r="V37" s="49"/>
      <c r="W37" s="49"/>
      <c r="X37" s="49"/>
      <c r="Y37" s="49"/>
      <c r="Z37" s="49"/>
    </row>
    <row r="38" spans="1:26">
      <c r="I38" s="162"/>
      <c r="K38" s="49"/>
      <c r="R38" s="49"/>
      <c r="S38" s="49"/>
      <c r="T38" s="49"/>
      <c r="U38" s="49"/>
      <c r="V38" s="49"/>
      <c r="W38" s="49"/>
      <c r="X38" s="49"/>
      <c r="Y38" s="49"/>
      <c r="Z38" s="49"/>
    </row>
    <row r="39" spans="1:26">
      <c r="B39" s="161" t="s">
        <v>214</v>
      </c>
      <c r="C39" s="13" t="s">
        <v>209</v>
      </c>
      <c r="D39" s="132" t="e">
        <f>(D29+D30)</f>
        <v>#REF!</v>
      </c>
      <c r="E39" s="49" t="s">
        <v>213</v>
      </c>
      <c r="K39" s="49"/>
      <c r="R39" s="49"/>
      <c r="S39" s="49"/>
      <c r="T39" s="49"/>
      <c r="U39" s="49"/>
      <c r="V39" s="49"/>
      <c r="W39" s="49"/>
      <c r="X39" s="49"/>
      <c r="Y39" s="49"/>
      <c r="Z39" s="49"/>
    </row>
    <row r="40" spans="1:26" ht="27.6">
      <c r="B40" s="161" t="s">
        <v>212</v>
      </c>
      <c r="C40" s="13" t="s">
        <v>209</v>
      </c>
      <c r="D40" s="132" t="e">
        <f>D35*(D39/D32)</f>
        <v>#REF!</v>
      </c>
      <c r="E40" s="13" t="s">
        <v>211</v>
      </c>
      <c r="K40" s="49"/>
      <c r="R40" s="49"/>
      <c r="S40" s="49"/>
      <c r="T40" s="49"/>
      <c r="U40" s="49"/>
      <c r="V40" s="49"/>
      <c r="W40" s="49"/>
      <c r="X40" s="49"/>
      <c r="Y40" s="49"/>
      <c r="Z40" s="49"/>
    </row>
    <row r="41" spans="1:26" ht="28.2" thickBot="1">
      <c r="B41" s="161" t="s">
        <v>210</v>
      </c>
      <c r="C41" s="13" t="s">
        <v>209</v>
      </c>
      <c r="D41" s="160" t="e">
        <f>D39+D40</f>
        <v>#REF!</v>
      </c>
      <c r="E41" s="13" t="s">
        <v>208</v>
      </c>
      <c r="K41" s="49"/>
      <c r="R41" s="49"/>
      <c r="S41" s="49"/>
      <c r="T41" s="49"/>
      <c r="U41" s="49"/>
      <c r="V41" s="49"/>
      <c r="W41" s="49"/>
      <c r="X41" s="49"/>
      <c r="Y41" s="49"/>
      <c r="Z41" s="49"/>
    </row>
    <row r="42" spans="1:26" ht="14.4" thickTop="1">
      <c r="B42" s="49"/>
      <c r="C42" s="49"/>
      <c r="D42" s="49"/>
      <c r="E42" s="49"/>
      <c r="F42" s="49"/>
      <c r="G42" s="49"/>
      <c r="H42" s="49"/>
      <c r="K42" s="49"/>
      <c r="R42" s="49"/>
      <c r="S42" s="49"/>
      <c r="T42" s="49"/>
      <c r="U42" s="49"/>
      <c r="V42" s="49"/>
      <c r="W42" s="49"/>
      <c r="X42" s="49"/>
      <c r="Y42" s="49"/>
      <c r="Z42" s="49"/>
    </row>
    <row r="43" spans="1:26">
      <c r="B43" s="13" t="s">
        <v>207</v>
      </c>
      <c r="C43" s="49" t="s">
        <v>206</v>
      </c>
      <c r="D43" s="159" t="e">
        <f>#REF!</f>
        <v>#REF!</v>
      </c>
      <c r="E43" s="49" t="s">
        <v>205</v>
      </c>
      <c r="F43" s="49"/>
      <c r="G43" s="49"/>
      <c r="H43" s="49"/>
      <c r="K43" s="49"/>
      <c r="R43" s="49"/>
      <c r="S43" s="49"/>
      <c r="T43" s="49"/>
      <c r="U43" s="49"/>
      <c r="V43" s="49"/>
      <c r="W43" s="49"/>
      <c r="X43" s="49"/>
      <c r="Y43" s="49"/>
      <c r="Z43" s="49"/>
    </row>
    <row r="44" spans="1:26" ht="14.4" thickBot="1">
      <c r="K44" s="49"/>
      <c r="R44" s="49"/>
      <c r="S44" s="49"/>
      <c r="T44" s="49"/>
      <c r="U44" s="49"/>
      <c r="V44" s="49"/>
      <c r="W44" s="49"/>
      <c r="X44" s="49"/>
      <c r="Y44" s="49"/>
      <c r="Z44" s="49"/>
    </row>
    <row r="45" spans="1:26" ht="14.4" thickBot="1">
      <c r="B45" s="13" t="s">
        <v>135</v>
      </c>
      <c r="C45" s="13" t="s">
        <v>97</v>
      </c>
      <c r="D45" s="158" t="e">
        <f>D41/(D43*365)</f>
        <v>#REF!</v>
      </c>
      <c r="E45" s="49" t="s">
        <v>204</v>
      </c>
      <c r="K45" s="49"/>
      <c r="R45" s="49"/>
      <c r="S45" s="49"/>
      <c r="T45" s="49"/>
      <c r="U45" s="49"/>
      <c r="V45" s="49"/>
      <c r="W45" s="49"/>
      <c r="X45" s="49"/>
      <c r="Y45" s="49"/>
      <c r="Z45" s="49"/>
    </row>
    <row r="46" spans="1:26">
      <c r="K46" s="49"/>
      <c r="R46" s="49"/>
      <c r="S46" s="49"/>
      <c r="T46" s="49"/>
      <c r="U46" s="49"/>
      <c r="V46" s="49"/>
      <c r="W46" s="49"/>
      <c r="X46" s="49"/>
      <c r="Y46" s="49"/>
      <c r="Z46" s="49"/>
    </row>
    <row r="47" spans="1:26" s="87" customFormat="1"/>
    <row r="48" spans="1:26">
      <c r="A48" s="49"/>
      <c r="B48" s="150" t="s">
        <v>203</v>
      </c>
      <c r="K48" s="49"/>
    </row>
    <row r="49" spans="1:11">
      <c r="A49" s="49"/>
      <c r="B49" s="157"/>
      <c r="J49" s="156" t="s">
        <v>202</v>
      </c>
      <c r="K49" s="49"/>
    </row>
    <row r="50" spans="1:11">
      <c r="A50" s="49"/>
      <c r="B50" s="150" t="s">
        <v>201</v>
      </c>
      <c r="K50" s="49"/>
    </row>
    <row r="51" spans="1:11">
      <c r="A51" s="49"/>
      <c r="K51" s="49"/>
    </row>
    <row r="52" spans="1:11" ht="66">
      <c r="A52" s="49"/>
      <c r="B52" s="149"/>
      <c r="C52" s="148"/>
      <c r="D52" s="148" t="s">
        <v>200</v>
      </c>
      <c r="E52" s="148" t="s">
        <v>199</v>
      </c>
      <c r="F52" s="148" t="s">
        <v>198</v>
      </c>
      <c r="G52" s="148" t="s">
        <v>197</v>
      </c>
      <c r="H52" s="16"/>
      <c r="K52" s="49"/>
    </row>
    <row r="53" spans="1:11">
      <c r="A53" s="49"/>
      <c r="B53" s="149"/>
      <c r="C53" s="148"/>
      <c r="D53" s="148"/>
      <c r="E53" s="148"/>
      <c r="F53" s="148"/>
      <c r="G53" s="148"/>
      <c r="K53" s="49"/>
    </row>
    <row r="54" spans="1:11">
      <c r="A54" s="49"/>
      <c r="B54" s="147" t="s">
        <v>113</v>
      </c>
      <c r="C54" s="147" t="s">
        <v>112</v>
      </c>
      <c r="D54" s="472" t="s">
        <v>196</v>
      </c>
      <c r="E54" s="472"/>
      <c r="F54" s="472"/>
      <c r="G54" s="472"/>
      <c r="H54" s="94"/>
      <c r="J54" s="105" t="s">
        <v>178</v>
      </c>
      <c r="K54" s="49"/>
    </row>
    <row r="55" spans="1:11">
      <c r="A55" s="49"/>
      <c r="B55" s="145" t="s">
        <v>107</v>
      </c>
      <c r="C55" s="145" t="s">
        <v>106</v>
      </c>
      <c r="D55" s="145"/>
      <c r="E55" s="145"/>
      <c r="F55" s="145"/>
      <c r="G55" s="145"/>
      <c r="I55" s="144" t="s">
        <v>177</v>
      </c>
      <c r="J55" s="144" t="s">
        <v>176</v>
      </c>
      <c r="K55" s="49"/>
    </row>
    <row r="56" spans="1:11">
      <c r="A56" s="49"/>
      <c r="B56" s="145"/>
      <c r="C56" s="145"/>
      <c r="D56" s="145"/>
      <c r="E56" s="145"/>
      <c r="F56" s="145"/>
      <c r="G56" s="145"/>
      <c r="I56" s="144"/>
      <c r="J56" s="144"/>
      <c r="K56" s="49"/>
    </row>
    <row r="57" spans="1:11">
      <c r="A57" s="49"/>
      <c r="B57" s="473">
        <v>50</v>
      </c>
      <c r="C57" s="145">
        <v>50</v>
      </c>
      <c r="D57" s="143">
        <v>0</v>
      </c>
      <c r="E57" s="143">
        <v>1</v>
      </c>
      <c r="F57" s="143">
        <v>0</v>
      </c>
      <c r="G57" s="143">
        <v>0</v>
      </c>
      <c r="I57" s="155">
        <f t="shared" ref="I57:I74" si="0">D57*7+E57*2</f>
        <v>2</v>
      </c>
      <c r="J57" s="155">
        <f t="shared" ref="J57:J74" si="1">F57*12.8+G57*13.8</f>
        <v>0</v>
      </c>
      <c r="K57" s="49"/>
    </row>
    <row r="58" spans="1:11">
      <c r="A58" s="49"/>
      <c r="B58" s="473"/>
      <c r="C58" s="145">
        <v>100</v>
      </c>
      <c r="D58" s="143">
        <v>1</v>
      </c>
      <c r="E58" s="143">
        <v>0</v>
      </c>
      <c r="F58" s="143">
        <v>0.06</v>
      </c>
      <c r="G58" s="143">
        <v>0</v>
      </c>
      <c r="I58" s="155">
        <f t="shared" si="0"/>
        <v>7</v>
      </c>
      <c r="J58" s="155">
        <f t="shared" si="1"/>
        <v>0.76800000000000002</v>
      </c>
      <c r="K58" s="49"/>
    </row>
    <row r="59" spans="1:11">
      <c r="A59" s="49"/>
      <c r="B59" s="473"/>
      <c r="C59" s="145">
        <v>150</v>
      </c>
      <c r="D59" s="143">
        <v>1</v>
      </c>
      <c r="E59" s="143">
        <v>0</v>
      </c>
      <c r="F59" s="143">
        <v>0.19</v>
      </c>
      <c r="G59" s="143">
        <v>0</v>
      </c>
      <c r="I59" s="155">
        <f t="shared" si="0"/>
        <v>7</v>
      </c>
      <c r="J59" s="155">
        <f t="shared" si="1"/>
        <v>2.4320000000000004</v>
      </c>
      <c r="K59" s="49"/>
    </row>
    <row r="60" spans="1:11">
      <c r="A60" s="49"/>
      <c r="B60" s="473"/>
      <c r="C60" s="145">
        <v>200</v>
      </c>
      <c r="D60" s="143">
        <v>1</v>
      </c>
      <c r="E60" s="143">
        <v>0</v>
      </c>
      <c r="F60" s="143">
        <v>0.35</v>
      </c>
      <c r="G60" s="143">
        <v>0</v>
      </c>
      <c r="I60" s="155">
        <f t="shared" si="0"/>
        <v>7</v>
      </c>
      <c r="J60" s="155">
        <f t="shared" si="1"/>
        <v>4.4799999999999995</v>
      </c>
      <c r="K60" s="49"/>
    </row>
    <row r="61" spans="1:11">
      <c r="A61" s="49"/>
      <c r="B61" s="473"/>
      <c r="C61" s="145">
        <v>250</v>
      </c>
      <c r="D61" s="143">
        <v>1</v>
      </c>
      <c r="E61" s="143">
        <v>0</v>
      </c>
      <c r="F61" s="143">
        <v>0.61</v>
      </c>
      <c r="G61" s="143">
        <v>0</v>
      </c>
      <c r="I61" s="155">
        <f t="shared" si="0"/>
        <v>7</v>
      </c>
      <c r="J61" s="155">
        <f t="shared" si="1"/>
        <v>7.8079999999999998</v>
      </c>
      <c r="K61" s="49"/>
    </row>
    <row r="62" spans="1:11">
      <c r="A62" s="49"/>
      <c r="B62" s="473"/>
      <c r="C62" s="145">
        <v>300</v>
      </c>
      <c r="D62" s="143">
        <v>1</v>
      </c>
      <c r="E62" s="143">
        <v>0</v>
      </c>
      <c r="F62" s="143">
        <v>1</v>
      </c>
      <c r="G62" s="143">
        <v>0.01</v>
      </c>
      <c r="I62" s="155">
        <f t="shared" si="0"/>
        <v>7</v>
      </c>
      <c r="J62" s="155">
        <f t="shared" si="1"/>
        <v>12.938000000000001</v>
      </c>
      <c r="K62" s="49"/>
    </row>
    <row r="63" spans="1:11">
      <c r="A63" s="49"/>
      <c r="B63" s="473">
        <v>100</v>
      </c>
      <c r="C63" s="145">
        <v>100</v>
      </c>
      <c r="D63" s="143">
        <v>1</v>
      </c>
      <c r="E63" s="143">
        <v>0</v>
      </c>
      <c r="F63" s="143">
        <v>0.06</v>
      </c>
      <c r="G63" s="143">
        <v>0</v>
      </c>
      <c r="I63" s="155">
        <f t="shared" si="0"/>
        <v>7</v>
      </c>
      <c r="J63" s="155">
        <f t="shared" si="1"/>
        <v>0.76800000000000002</v>
      </c>
      <c r="K63" s="49"/>
    </row>
    <row r="64" spans="1:11">
      <c r="A64" s="49"/>
      <c r="B64" s="473"/>
      <c r="C64" s="145">
        <v>150</v>
      </c>
      <c r="D64" s="143">
        <v>1</v>
      </c>
      <c r="E64" s="143">
        <v>0</v>
      </c>
      <c r="F64" s="143">
        <v>0.2</v>
      </c>
      <c r="G64" s="143">
        <v>0</v>
      </c>
      <c r="I64" s="155">
        <f t="shared" si="0"/>
        <v>7</v>
      </c>
      <c r="J64" s="155">
        <f t="shared" si="1"/>
        <v>2.5600000000000005</v>
      </c>
      <c r="K64" s="49"/>
    </row>
    <row r="65" spans="1:11">
      <c r="A65" s="49"/>
      <c r="B65" s="473"/>
      <c r="C65" s="145">
        <v>200</v>
      </c>
      <c r="D65" s="143">
        <v>1</v>
      </c>
      <c r="E65" s="143">
        <v>0</v>
      </c>
      <c r="F65" s="143">
        <v>0.4</v>
      </c>
      <c r="G65" s="143">
        <v>0</v>
      </c>
      <c r="I65" s="155">
        <f t="shared" si="0"/>
        <v>7</v>
      </c>
      <c r="J65" s="155">
        <f t="shared" si="1"/>
        <v>5.120000000000001</v>
      </c>
      <c r="K65" s="49"/>
    </row>
    <row r="66" spans="1:11">
      <c r="A66" s="49"/>
      <c r="B66" s="473"/>
      <c r="C66" s="145">
        <v>250</v>
      </c>
      <c r="D66" s="143">
        <v>1</v>
      </c>
      <c r="E66" s="143">
        <v>0</v>
      </c>
      <c r="F66" s="143">
        <v>0.78</v>
      </c>
      <c r="G66" s="143">
        <v>0</v>
      </c>
      <c r="I66" s="155">
        <f t="shared" si="0"/>
        <v>7</v>
      </c>
      <c r="J66" s="155">
        <f t="shared" si="1"/>
        <v>9.9840000000000018</v>
      </c>
      <c r="K66" s="49"/>
    </row>
    <row r="67" spans="1:11">
      <c r="A67" s="49"/>
      <c r="B67" s="473"/>
      <c r="C67" s="145">
        <v>300</v>
      </c>
      <c r="D67" s="143">
        <v>1</v>
      </c>
      <c r="E67" s="143">
        <v>0</v>
      </c>
      <c r="F67" s="143">
        <v>1</v>
      </c>
      <c r="G67" s="143">
        <v>0.05</v>
      </c>
      <c r="I67" s="155">
        <f t="shared" si="0"/>
        <v>7</v>
      </c>
      <c r="J67" s="155">
        <f t="shared" si="1"/>
        <v>13.49</v>
      </c>
      <c r="K67" s="49"/>
    </row>
    <row r="68" spans="1:11">
      <c r="A68" s="49"/>
      <c r="B68" s="473">
        <v>150</v>
      </c>
      <c r="C68" s="145">
        <v>150</v>
      </c>
      <c r="D68" s="143">
        <v>1</v>
      </c>
      <c r="E68" s="143">
        <v>0</v>
      </c>
      <c r="F68" s="143">
        <v>0.2</v>
      </c>
      <c r="G68" s="143">
        <v>0</v>
      </c>
      <c r="I68" s="155">
        <f t="shared" si="0"/>
        <v>7</v>
      </c>
      <c r="J68" s="155">
        <f t="shared" si="1"/>
        <v>2.5600000000000005</v>
      </c>
      <c r="K68" s="49"/>
    </row>
    <row r="69" spans="1:11">
      <c r="A69" s="49"/>
      <c r="B69" s="473"/>
      <c r="C69" s="145">
        <v>200</v>
      </c>
      <c r="D69" s="143">
        <v>1</v>
      </c>
      <c r="E69" s="143">
        <v>0</v>
      </c>
      <c r="F69" s="143">
        <v>0.4</v>
      </c>
      <c r="G69" s="143">
        <v>0</v>
      </c>
      <c r="I69" s="155">
        <f t="shared" si="0"/>
        <v>7</v>
      </c>
      <c r="J69" s="155">
        <f t="shared" si="1"/>
        <v>5.120000000000001</v>
      </c>
      <c r="K69" s="49"/>
    </row>
    <row r="70" spans="1:11">
      <c r="A70" s="49"/>
      <c r="B70" s="473"/>
      <c r="C70" s="145">
        <v>250</v>
      </c>
      <c r="D70" s="143">
        <v>1</v>
      </c>
      <c r="E70" s="143">
        <v>0</v>
      </c>
      <c r="F70" s="143">
        <v>0.82</v>
      </c>
      <c r="G70" s="143">
        <v>0</v>
      </c>
      <c r="I70" s="155">
        <f t="shared" si="0"/>
        <v>7</v>
      </c>
      <c r="J70" s="155">
        <f t="shared" si="1"/>
        <v>10.496</v>
      </c>
      <c r="K70" s="49"/>
    </row>
    <row r="71" spans="1:11">
      <c r="A71" s="49"/>
      <c r="B71" s="473"/>
      <c r="C71" s="145">
        <v>300</v>
      </c>
      <c r="D71" s="143">
        <v>1</v>
      </c>
      <c r="E71" s="143">
        <v>0</v>
      </c>
      <c r="F71" s="143">
        <v>1</v>
      </c>
      <c r="G71" s="143">
        <v>0.06</v>
      </c>
      <c r="I71" s="155">
        <f t="shared" si="0"/>
        <v>7</v>
      </c>
      <c r="J71" s="155">
        <f t="shared" si="1"/>
        <v>13.628</v>
      </c>
      <c r="K71" s="49"/>
    </row>
    <row r="72" spans="1:11">
      <c r="A72" s="49"/>
      <c r="B72" s="473">
        <v>200</v>
      </c>
      <c r="C72" s="145">
        <v>200</v>
      </c>
      <c r="D72" s="143">
        <v>1</v>
      </c>
      <c r="E72" s="143">
        <v>0</v>
      </c>
      <c r="F72" s="143">
        <v>0.4</v>
      </c>
      <c r="G72" s="143">
        <v>0</v>
      </c>
      <c r="I72" s="155">
        <f t="shared" si="0"/>
        <v>7</v>
      </c>
      <c r="J72" s="155">
        <f t="shared" si="1"/>
        <v>5.120000000000001</v>
      </c>
      <c r="K72" s="49"/>
    </row>
    <row r="73" spans="1:11">
      <c r="A73" s="49"/>
      <c r="B73" s="473"/>
      <c r="C73" s="145">
        <v>250</v>
      </c>
      <c r="D73" s="143">
        <v>1</v>
      </c>
      <c r="E73" s="143">
        <v>0</v>
      </c>
      <c r="F73" s="143">
        <v>0.82</v>
      </c>
      <c r="G73" s="143">
        <v>0</v>
      </c>
      <c r="I73" s="155">
        <f t="shared" si="0"/>
        <v>7</v>
      </c>
      <c r="J73" s="155">
        <f t="shared" si="1"/>
        <v>10.496</v>
      </c>
      <c r="K73" s="49"/>
    </row>
    <row r="74" spans="1:11">
      <c r="A74" s="49"/>
      <c r="B74" s="473"/>
      <c r="C74" s="145">
        <v>300</v>
      </c>
      <c r="D74" s="143">
        <v>1</v>
      </c>
      <c r="E74" s="143">
        <v>0</v>
      </c>
      <c r="F74" s="143">
        <v>1</v>
      </c>
      <c r="G74" s="143">
        <v>7.0000000000000007E-2</v>
      </c>
      <c r="I74" s="155">
        <f t="shared" si="0"/>
        <v>7</v>
      </c>
      <c r="J74" s="155">
        <f t="shared" si="1"/>
        <v>13.766000000000002</v>
      </c>
      <c r="K74" s="49"/>
    </row>
    <row r="75" spans="1:11">
      <c r="A75" s="49"/>
      <c r="B75" s="49"/>
      <c r="C75" s="49"/>
      <c r="D75" s="49"/>
      <c r="E75" s="49"/>
      <c r="F75" s="49"/>
      <c r="G75" s="49"/>
      <c r="K75" s="49"/>
    </row>
    <row r="76" spans="1:11">
      <c r="A76" s="49"/>
      <c r="B76" s="150" t="s">
        <v>195</v>
      </c>
      <c r="I76" s="49"/>
      <c r="J76" s="49"/>
      <c r="K76" s="49"/>
    </row>
    <row r="77" spans="1:11">
      <c r="A77" s="49"/>
      <c r="B77" s="150"/>
      <c r="K77" s="49"/>
    </row>
    <row r="78" spans="1:11">
      <c r="A78" s="49"/>
      <c r="B78" s="145" t="s">
        <v>194</v>
      </c>
      <c r="C78" s="154" t="s">
        <v>193</v>
      </c>
      <c r="D78" s="154" t="s">
        <v>192</v>
      </c>
      <c r="E78" s="154" t="s">
        <v>191</v>
      </c>
      <c r="F78" s="144" t="s">
        <v>190</v>
      </c>
      <c r="K78" s="49"/>
    </row>
    <row r="79" spans="1:11">
      <c r="A79" s="49"/>
      <c r="B79" s="145" t="s">
        <v>107</v>
      </c>
      <c r="C79" s="16"/>
      <c r="D79" s="16"/>
      <c r="E79" s="16"/>
      <c r="F79" s="153" t="s">
        <v>189</v>
      </c>
      <c r="K79" s="49"/>
    </row>
    <row r="80" spans="1:11">
      <c r="A80" s="49"/>
      <c r="B80" s="145"/>
      <c r="C80" s="16"/>
      <c r="D80" s="16"/>
      <c r="E80" s="16"/>
      <c r="F80" s="48"/>
      <c r="K80" s="49"/>
    </row>
    <row r="81" spans="1:11">
      <c r="A81" s="49"/>
      <c r="B81" s="145">
        <v>50</v>
      </c>
      <c r="C81" s="145">
        <v>24</v>
      </c>
      <c r="D81" s="145" t="s">
        <v>186</v>
      </c>
      <c r="E81" s="145" t="s">
        <v>185</v>
      </c>
      <c r="F81" s="145">
        <v>20.100000000000001</v>
      </c>
      <c r="K81" s="49"/>
    </row>
    <row r="82" spans="1:11">
      <c r="A82" s="49"/>
      <c r="B82" s="145"/>
      <c r="C82" s="145">
        <v>36</v>
      </c>
      <c r="D82" s="145" t="s">
        <v>183</v>
      </c>
      <c r="E82" s="145" t="s">
        <v>188</v>
      </c>
      <c r="F82" s="145">
        <v>25.3</v>
      </c>
      <c r="K82" s="49"/>
    </row>
    <row r="83" spans="1:11" ht="14.4" thickBot="1">
      <c r="A83" s="49"/>
      <c r="B83" s="145"/>
      <c r="C83" s="145"/>
      <c r="D83" s="145"/>
      <c r="E83" s="145"/>
      <c r="F83" s="152">
        <f>F82+F81</f>
        <v>45.400000000000006</v>
      </c>
      <c r="K83" s="49"/>
    </row>
    <row r="84" spans="1:11">
      <c r="A84" s="49"/>
      <c r="B84" s="145"/>
      <c r="C84" s="145"/>
      <c r="D84" s="145"/>
      <c r="E84" s="145"/>
      <c r="F84" s="145"/>
      <c r="K84" s="49"/>
    </row>
    <row r="85" spans="1:11">
      <c r="A85" s="49"/>
      <c r="B85" s="145">
        <v>100</v>
      </c>
      <c r="C85" s="145">
        <v>24</v>
      </c>
      <c r="D85" s="145" t="s">
        <v>186</v>
      </c>
      <c r="E85" s="145" t="s">
        <v>185</v>
      </c>
      <c r="F85" s="145">
        <v>20.100000000000001</v>
      </c>
      <c r="K85" s="49"/>
    </row>
    <row r="86" spans="1:11">
      <c r="A86" s="49"/>
      <c r="B86" s="145"/>
      <c r="C86" s="145">
        <v>36</v>
      </c>
      <c r="D86" s="145" t="s">
        <v>183</v>
      </c>
      <c r="E86" s="145" t="s">
        <v>188</v>
      </c>
      <c r="F86" s="145">
        <v>25.3</v>
      </c>
      <c r="K86" s="49"/>
    </row>
    <row r="87" spans="1:11">
      <c r="A87" s="49"/>
      <c r="B87" s="145"/>
      <c r="C87" s="145">
        <v>36</v>
      </c>
      <c r="D87" s="145" t="s">
        <v>187</v>
      </c>
      <c r="E87" s="145" t="s">
        <v>182</v>
      </c>
      <c r="F87" s="145">
        <v>32.799999999999997</v>
      </c>
      <c r="K87" s="49"/>
    </row>
    <row r="88" spans="1:11" ht="14.4" thickBot="1">
      <c r="A88" s="49"/>
      <c r="B88" s="145"/>
      <c r="C88" s="145"/>
      <c r="D88" s="145"/>
      <c r="E88" s="145"/>
      <c r="F88" s="152">
        <f>SUM(F85:F87)</f>
        <v>78.2</v>
      </c>
      <c r="K88" s="49"/>
    </row>
    <row r="89" spans="1:11">
      <c r="A89" s="49"/>
      <c r="B89" s="145"/>
      <c r="C89" s="145"/>
      <c r="D89" s="145"/>
      <c r="E89" s="145"/>
      <c r="F89" s="145"/>
      <c r="K89" s="49"/>
    </row>
    <row r="90" spans="1:11">
      <c r="A90" s="49"/>
      <c r="B90" s="145">
        <v>150</v>
      </c>
      <c r="C90" s="145">
        <v>36</v>
      </c>
      <c r="D90" s="145" t="s">
        <v>186</v>
      </c>
      <c r="E90" s="145" t="s">
        <v>185</v>
      </c>
      <c r="F90" s="145">
        <v>20.100000000000001</v>
      </c>
      <c r="K90" s="49"/>
    </row>
    <row r="91" spans="1:11">
      <c r="A91" s="49"/>
      <c r="B91" s="145"/>
      <c r="C91" s="145">
        <v>36</v>
      </c>
      <c r="D91" s="145" t="s">
        <v>183</v>
      </c>
      <c r="E91" s="145" t="s">
        <v>184</v>
      </c>
      <c r="F91" s="145">
        <v>103.3</v>
      </c>
      <c r="K91" s="49"/>
    </row>
    <row r="92" spans="1:11" ht="14.4" thickBot="1">
      <c r="A92" s="49"/>
      <c r="B92" s="145"/>
      <c r="C92" s="145"/>
      <c r="D92" s="145"/>
      <c r="E92" s="145"/>
      <c r="F92" s="152">
        <f>F91+F90</f>
        <v>123.4</v>
      </c>
      <c r="K92" s="49"/>
    </row>
    <row r="93" spans="1:11">
      <c r="A93" s="49"/>
      <c r="B93" s="145"/>
      <c r="C93" s="145"/>
      <c r="D93" s="145"/>
      <c r="E93" s="145"/>
      <c r="F93" s="145"/>
      <c r="K93" s="49"/>
    </row>
    <row r="94" spans="1:11">
      <c r="A94" s="49"/>
      <c r="B94" s="145">
        <v>200</v>
      </c>
      <c r="C94" s="145">
        <v>42</v>
      </c>
      <c r="D94" s="145" t="s">
        <v>186</v>
      </c>
      <c r="E94" s="145" t="s">
        <v>185</v>
      </c>
      <c r="F94" s="145">
        <v>20.100000000000001</v>
      </c>
      <c r="K94" s="49"/>
    </row>
    <row r="95" spans="1:11">
      <c r="A95" s="49"/>
      <c r="B95" s="16"/>
      <c r="C95" s="145">
        <v>42</v>
      </c>
      <c r="D95" s="145" t="s">
        <v>182</v>
      </c>
      <c r="E95" s="145" t="s">
        <v>184</v>
      </c>
      <c r="F95" s="145">
        <v>32.700000000000003</v>
      </c>
      <c r="K95" s="49"/>
    </row>
    <row r="96" spans="1:11">
      <c r="A96" s="49"/>
      <c r="C96" s="145">
        <v>48</v>
      </c>
      <c r="D96" s="145" t="s">
        <v>183</v>
      </c>
      <c r="E96" s="145" t="s">
        <v>182</v>
      </c>
      <c r="F96" s="145">
        <v>70.7</v>
      </c>
      <c r="K96" s="49"/>
    </row>
    <row r="97" spans="1:11" ht="14.4" thickBot="1">
      <c r="A97" s="49"/>
      <c r="F97" s="152">
        <f>F96+F95+F94</f>
        <v>123.5</v>
      </c>
      <c r="K97" s="49"/>
    </row>
    <row r="98" spans="1:11">
      <c r="A98" s="49"/>
      <c r="K98" s="49"/>
    </row>
    <row r="99" spans="1:11">
      <c r="A99" s="49"/>
      <c r="B99" s="151"/>
      <c r="C99" s="151"/>
      <c r="D99" s="151"/>
      <c r="E99" s="151"/>
      <c r="F99" s="151"/>
      <c r="G99" s="151"/>
      <c r="H99" s="151"/>
      <c r="K99" s="49"/>
    </row>
    <row r="100" spans="1:11">
      <c r="A100" s="49"/>
      <c r="I100" s="16"/>
      <c r="J100" s="16"/>
      <c r="K100" s="49"/>
    </row>
    <row r="101" spans="1:11">
      <c r="A101" s="49"/>
      <c r="B101" s="150" t="s">
        <v>181</v>
      </c>
      <c r="I101" s="16"/>
      <c r="J101" s="16"/>
      <c r="K101" s="49"/>
    </row>
    <row r="102" spans="1:11">
      <c r="A102" s="49"/>
      <c r="B102" s="150"/>
      <c r="K102" s="49"/>
    </row>
    <row r="103" spans="1:11" ht="52.8">
      <c r="A103" s="49"/>
      <c r="B103" s="149"/>
      <c r="C103" s="148"/>
      <c r="D103" s="148" t="s">
        <v>180</v>
      </c>
      <c r="E103" s="145" t="s">
        <v>179</v>
      </c>
      <c r="G103" s="105" t="s">
        <v>178</v>
      </c>
      <c r="H103" s="16"/>
      <c r="K103" s="49"/>
    </row>
    <row r="104" spans="1:11">
      <c r="A104" s="49"/>
      <c r="B104" s="147" t="s">
        <v>113</v>
      </c>
      <c r="C104" s="147" t="s">
        <v>112</v>
      </c>
      <c r="D104" s="146"/>
      <c r="E104" s="146"/>
      <c r="F104" s="144" t="s">
        <v>177</v>
      </c>
      <c r="G104" s="144" t="s">
        <v>176</v>
      </c>
      <c r="H104" s="94"/>
      <c r="K104" s="49"/>
    </row>
    <row r="105" spans="1:11">
      <c r="A105" s="49"/>
      <c r="B105" s="145" t="s">
        <v>107</v>
      </c>
      <c r="C105" s="145" t="s">
        <v>106</v>
      </c>
      <c r="D105" s="145"/>
      <c r="F105" s="144"/>
      <c r="G105" s="144"/>
      <c r="K105" s="49"/>
    </row>
    <row r="106" spans="1:11">
      <c r="A106" s="49"/>
      <c r="K106" s="49"/>
    </row>
    <row r="107" spans="1:11">
      <c r="A107" s="49"/>
      <c r="B107" s="13">
        <v>50</v>
      </c>
      <c r="D107" s="143">
        <v>1</v>
      </c>
      <c r="F107" s="105">
        <f>D107*1+E107*6</f>
        <v>1</v>
      </c>
      <c r="G107" s="142">
        <v>0</v>
      </c>
      <c r="K107" s="49"/>
    </row>
    <row r="108" spans="1:11">
      <c r="A108" s="49"/>
      <c r="B108" s="13">
        <v>100</v>
      </c>
      <c r="D108" s="143">
        <v>1</v>
      </c>
      <c r="F108" s="105">
        <f>D108*1+E108*6</f>
        <v>1</v>
      </c>
      <c r="G108" s="142">
        <v>0</v>
      </c>
      <c r="K108" s="49"/>
    </row>
    <row r="109" spans="1:11">
      <c r="A109" s="49"/>
      <c r="D109" s="143"/>
      <c r="F109" s="105"/>
      <c r="G109" s="142"/>
      <c r="K109" s="49"/>
    </row>
    <row r="110" spans="1:11">
      <c r="A110" s="49"/>
      <c r="B110" s="13">
        <v>150</v>
      </c>
      <c r="E110" s="143">
        <v>1</v>
      </c>
      <c r="F110" s="105">
        <f>D110*1+E110*6</f>
        <v>6</v>
      </c>
      <c r="G110" s="142">
        <v>0</v>
      </c>
      <c r="K110" s="49"/>
    </row>
    <row r="111" spans="1:11">
      <c r="A111" s="49"/>
      <c r="B111" s="13">
        <v>200</v>
      </c>
      <c r="E111" s="143">
        <v>1</v>
      </c>
      <c r="F111" s="105">
        <f>D111*1+E111*6</f>
        <v>6</v>
      </c>
      <c r="G111" s="142">
        <v>0</v>
      </c>
      <c r="K111" s="49"/>
    </row>
    <row r="112" spans="1:11">
      <c r="A112" s="49"/>
      <c r="K112" s="49"/>
    </row>
    <row r="113" spans="1:28" s="87" customFormat="1"/>
    <row r="114" spans="1:28">
      <c r="A114" s="49"/>
      <c r="K114" s="49"/>
      <c r="T114" s="49"/>
      <c r="U114" s="49"/>
      <c r="V114" s="49"/>
      <c r="W114" s="49"/>
      <c r="X114" s="49"/>
      <c r="Y114" s="49"/>
      <c r="Z114" s="49"/>
      <c r="AA114" s="49"/>
      <c r="AB114" s="49"/>
    </row>
    <row r="115" spans="1:28">
      <c r="A115" s="49"/>
      <c r="K115" s="49"/>
      <c r="T115" s="49"/>
      <c r="U115" s="49"/>
      <c r="V115" s="49"/>
      <c r="W115" s="49"/>
      <c r="X115" s="49"/>
      <c r="Y115" s="49"/>
      <c r="Z115" s="49"/>
      <c r="AA115" s="49"/>
      <c r="AB115" s="49"/>
    </row>
    <row r="116" spans="1:28">
      <c r="A116" s="49"/>
      <c r="K116" s="125" t="s">
        <v>175</v>
      </c>
      <c r="T116" s="49"/>
      <c r="U116" s="49"/>
      <c r="V116" s="49"/>
      <c r="W116" s="49"/>
      <c r="X116" s="49"/>
      <c r="Y116" s="49"/>
      <c r="Z116" s="49"/>
      <c r="AA116" s="49"/>
      <c r="AB116" s="49"/>
    </row>
    <row r="117" spans="1:28">
      <c r="A117" s="49"/>
      <c r="B117" s="124" t="s">
        <v>174</v>
      </c>
      <c r="K117" s="49"/>
      <c r="T117" s="49"/>
      <c r="U117" s="49"/>
      <c r="V117" s="49"/>
      <c r="W117" s="49"/>
      <c r="X117" s="49"/>
      <c r="Y117" s="49"/>
      <c r="Z117" s="49"/>
      <c r="AA117" s="49"/>
      <c r="AB117" s="49"/>
    </row>
    <row r="118" spans="1:28">
      <c r="A118" s="49"/>
      <c r="B118" s="43"/>
      <c r="K118" s="49"/>
      <c r="T118" s="49"/>
      <c r="U118" s="49"/>
      <c r="V118" s="49"/>
      <c r="W118" s="49"/>
      <c r="X118" s="49"/>
      <c r="Y118" s="49"/>
      <c r="Z118" s="49"/>
      <c r="AA118" s="49"/>
      <c r="AB118" s="49"/>
    </row>
    <row r="119" spans="1:28">
      <c r="A119" s="49"/>
      <c r="B119" s="129" t="s">
        <v>173</v>
      </c>
      <c r="C119" s="94"/>
      <c r="D119" s="94"/>
      <c r="E119" s="94"/>
      <c r="K119" s="49"/>
      <c r="T119" s="49"/>
      <c r="U119" s="49"/>
      <c r="V119" s="49"/>
      <c r="W119" s="49"/>
      <c r="X119" s="49"/>
      <c r="Y119" s="49"/>
      <c r="Z119" s="49"/>
      <c r="AA119" s="49"/>
      <c r="AB119" s="49"/>
    </row>
    <row r="120" spans="1:28">
      <c r="A120" s="49"/>
      <c r="B120" s="94" t="s">
        <v>172</v>
      </c>
      <c r="C120" s="94"/>
      <c r="D120" s="107">
        <f>D15</f>
        <v>14101.476000000001</v>
      </c>
      <c r="E120" s="141" t="s">
        <v>171</v>
      </c>
      <c r="K120" s="49"/>
      <c r="T120" s="49"/>
      <c r="U120" s="49"/>
      <c r="V120" s="49"/>
      <c r="W120" s="49"/>
      <c r="X120" s="49"/>
      <c r="Y120" s="49"/>
      <c r="Z120" s="49"/>
      <c r="AA120" s="49"/>
      <c r="AB120" s="49"/>
    </row>
    <row r="121" spans="1:28">
      <c r="A121" s="49"/>
      <c r="B121" s="94" t="s">
        <v>170</v>
      </c>
      <c r="C121" s="94"/>
      <c r="D121" s="107">
        <f>D16</f>
        <v>146</v>
      </c>
      <c r="E121" s="141" t="s">
        <v>169</v>
      </c>
      <c r="T121" s="49"/>
      <c r="U121" s="49"/>
      <c r="V121" s="49"/>
      <c r="W121" s="49"/>
      <c r="X121" s="49"/>
      <c r="Y121" s="49"/>
      <c r="Z121" s="49"/>
      <c r="AA121" s="49"/>
      <c r="AB121" s="49"/>
    </row>
    <row r="122" spans="1:28">
      <c r="A122" s="49"/>
      <c r="B122" s="94" t="s">
        <v>168</v>
      </c>
      <c r="C122" s="94"/>
      <c r="D122" s="107">
        <f>D17</f>
        <v>2337</v>
      </c>
      <c r="E122" s="141" t="s">
        <v>103</v>
      </c>
      <c r="T122" s="49"/>
      <c r="U122" s="49"/>
      <c r="V122" s="49"/>
      <c r="W122" s="49"/>
      <c r="X122" s="49"/>
      <c r="Y122" s="49"/>
      <c r="Z122" s="49"/>
      <c r="AA122" s="49"/>
      <c r="AB122" s="49"/>
    </row>
    <row r="123" spans="1:28">
      <c r="A123" s="49"/>
      <c r="B123" s="94" t="s">
        <v>167</v>
      </c>
      <c r="C123" s="94"/>
      <c r="D123" s="107" t="e">
        <f>D18</f>
        <v>#REF!</v>
      </c>
      <c r="E123" s="141" t="s">
        <v>166</v>
      </c>
      <c r="T123" s="49"/>
      <c r="U123" s="49"/>
      <c r="V123" s="49"/>
      <c r="W123" s="49"/>
      <c r="X123" s="49"/>
      <c r="Y123" s="49"/>
      <c r="Z123" s="49"/>
      <c r="AA123" s="49"/>
      <c r="AB123" s="49"/>
    </row>
    <row r="124" spans="1:28">
      <c r="A124" s="49"/>
      <c r="B124" s="94"/>
      <c r="C124" s="94"/>
      <c r="D124" s="107"/>
      <c r="E124" s="141"/>
      <c r="T124" s="49"/>
      <c r="U124" s="49"/>
      <c r="V124" s="49"/>
      <c r="W124" s="49"/>
      <c r="X124" s="49"/>
      <c r="Y124" s="49"/>
      <c r="Z124" s="49"/>
      <c r="AA124" s="49"/>
      <c r="AB124" s="49"/>
    </row>
    <row r="125" spans="1:28">
      <c r="A125" s="49"/>
      <c r="B125" s="94"/>
      <c r="C125" s="94"/>
      <c r="D125" s="107"/>
      <c r="E125" s="141"/>
      <c r="T125" s="49"/>
      <c r="U125" s="49"/>
      <c r="V125" s="49"/>
      <c r="W125" s="49"/>
      <c r="X125" s="49"/>
      <c r="Y125" s="49"/>
      <c r="Z125" s="49"/>
      <c r="AA125" s="49"/>
      <c r="AB125" s="49"/>
    </row>
    <row r="126" spans="1:28">
      <c r="A126" s="49"/>
      <c r="B126" s="129" t="s">
        <v>165</v>
      </c>
      <c r="C126" s="94"/>
      <c r="D126" s="107"/>
      <c r="E126" s="141"/>
      <c r="T126" s="49"/>
      <c r="U126" s="49"/>
      <c r="V126" s="49"/>
      <c r="W126" s="49"/>
      <c r="X126" s="49"/>
      <c r="Y126" s="49"/>
      <c r="Z126" s="49"/>
      <c r="AA126" s="49"/>
      <c r="AB126" s="49"/>
    </row>
    <row r="127" spans="1:28">
      <c r="A127" s="49"/>
      <c r="B127" s="139" t="s">
        <v>164</v>
      </c>
      <c r="C127" s="139"/>
      <c r="D127" s="138" t="e">
        <f>E36*1000</f>
        <v>#REF!</v>
      </c>
      <c r="E127" s="137" t="s">
        <v>163</v>
      </c>
      <c r="F127" s="49"/>
      <c r="T127" s="49"/>
      <c r="U127" s="49"/>
      <c r="V127" s="49"/>
      <c r="W127" s="49"/>
      <c r="X127" s="49"/>
      <c r="Y127" s="49"/>
      <c r="Z127" s="49"/>
      <c r="AA127" s="49"/>
      <c r="AB127" s="49"/>
    </row>
    <row r="128" spans="1:28">
      <c r="A128" s="49"/>
      <c r="B128" s="139"/>
      <c r="C128" s="139"/>
      <c r="D128" s="139"/>
      <c r="E128" s="140"/>
      <c r="F128" s="49"/>
      <c r="T128" s="49"/>
      <c r="U128" s="49"/>
      <c r="V128" s="49"/>
      <c r="W128" s="49"/>
      <c r="X128" s="49"/>
      <c r="Y128" s="49"/>
      <c r="Z128" s="49"/>
      <c r="AA128" s="49"/>
      <c r="AB128" s="49"/>
    </row>
    <row r="129" spans="1:28">
      <c r="A129" s="49"/>
      <c r="B129" s="139" t="s">
        <v>162</v>
      </c>
      <c r="C129" s="139"/>
      <c r="D129" s="133" t="e">
        <f>'Net Plant'!J8*1000</f>
        <v>#REF!</v>
      </c>
      <c r="E129" s="137" t="s">
        <v>161</v>
      </c>
      <c r="T129" s="49"/>
      <c r="U129" s="49"/>
      <c r="V129" s="49"/>
      <c r="W129" s="49"/>
      <c r="X129" s="49"/>
      <c r="Y129" s="49"/>
      <c r="Z129" s="49"/>
      <c r="AA129" s="49"/>
      <c r="AB129" s="49"/>
    </row>
    <row r="130" spans="1:28">
      <c r="A130" s="49"/>
      <c r="B130" s="139"/>
      <c r="C130" s="139"/>
      <c r="D130" s="138"/>
      <c r="E130" s="137"/>
      <c r="F130" s="49"/>
      <c r="T130" s="49"/>
      <c r="U130" s="49"/>
      <c r="V130" s="49"/>
      <c r="W130" s="49"/>
      <c r="X130" s="49"/>
      <c r="Y130" s="49"/>
      <c r="Z130" s="49"/>
      <c r="AA130" s="49"/>
      <c r="AB130" s="49"/>
    </row>
    <row r="131" spans="1:28">
      <c r="A131" s="49"/>
      <c r="B131" s="94"/>
      <c r="C131" s="94"/>
      <c r="D131" s="136"/>
      <c r="E131" s="102"/>
      <c r="T131" s="49"/>
      <c r="U131" s="49"/>
      <c r="V131" s="49"/>
      <c r="W131" s="49"/>
      <c r="X131" s="49"/>
      <c r="Y131" s="49"/>
      <c r="Z131" s="49"/>
      <c r="AA131" s="49"/>
      <c r="AB131" s="49"/>
    </row>
    <row r="132" spans="1:28">
      <c r="A132" s="49"/>
      <c r="B132" s="94"/>
      <c r="C132" s="94"/>
      <c r="D132" s="105" t="s">
        <v>160</v>
      </c>
      <c r="E132" s="102"/>
      <c r="F132" s="135" t="s">
        <v>159</v>
      </c>
      <c r="T132" s="49"/>
      <c r="U132" s="49"/>
      <c r="V132" s="49"/>
      <c r="W132" s="49"/>
      <c r="X132" s="49"/>
      <c r="Y132" s="49"/>
      <c r="Z132" s="49"/>
      <c r="AA132" s="49"/>
      <c r="AB132" s="49"/>
    </row>
    <row r="133" spans="1:28">
      <c r="A133" s="49"/>
      <c r="B133" s="94"/>
      <c r="C133" s="94"/>
      <c r="D133" s="110" t="s">
        <v>158</v>
      </c>
      <c r="E133" s="102"/>
      <c r="F133" s="110" t="s">
        <v>157</v>
      </c>
      <c r="T133" s="49"/>
      <c r="U133" s="49"/>
      <c r="V133" s="49"/>
      <c r="W133" s="49"/>
      <c r="X133" s="49"/>
      <c r="Y133" s="49"/>
      <c r="Z133" s="49"/>
      <c r="AA133" s="49"/>
      <c r="AB133" s="49"/>
    </row>
    <row r="134" spans="1:28">
      <c r="A134" s="49"/>
      <c r="B134" s="94" t="s">
        <v>156</v>
      </c>
      <c r="C134" s="94"/>
      <c r="D134" s="133" t="e">
        <f>'Net Plant'!J13*1000</f>
        <v>#REF!</v>
      </c>
      <c r="E134" s="102" t="s">
        <v>155</v>
      </c>
      <c r="F134" s="132" t="e">
        <f>D134/$D$129*$D$127</f>
        <v>#REF!</v>
      </c>
      <c r="G134" s="102" t="str">
        <f>"K = ("&amp;E134&amp;"/F) x E"</f>
        <v>K = (G/F) x E</v>
      </c>
      <c r="T134" s="49"/>
      <c r="U134" s="49"/>
      <c r="V134" s="49"/>
      <c r="W134" s="49"/>
      <c r="X134" s="49"/>
      <c r="Y134" s="49"/>
      <c r="Z134" s="49"/>
      <c r="AA134" s="49"/>
      <c r="AB134" s="49"/>
    </row>
    <row r="135" spans="1:28">
      <c r="A135" s="49"/>
      <c r="B135" s="94" t="s">
        <v>154</v>
      </c>
      <c r="C135" s="94"/>
      <c r="D135" s="133" t="e">
        <f>'Net Plant'!J14*1000</f>
        <v>#REF!</v>
      </c>
      <c r="E135" s="102" t="s">
        <v>153</v>
      </c>
      <c r="F135" s="132" t="e">
        <f>D135/$D$129*$D$127</f>
        <v>#REF!</v>
      </c>
      <c r="G135" s="102" t="str">
        <f>"L = ("&amp;E135&amp;"/F) x E"</f>
        <v>L = (H/F) x E</v>
      </c>
      <c r="T135" s="49"/>
      <c r="U135" s="49"/>
      <c r="V135" s="49"/>
      <c r="W135" s="49"/>
      <c r="X135" s="49"/>
      <c r="Y135" s="49"/>
      <c r="Z135" s="49"/>
      <c r="AA135" s="49"/>
      <c r="AB135" s="49"/>
    </row>
    <row r="136" spans="1:28">
      <c r="A136" s="49"/>
      <c r="B136" s="94" t="s">
        <v>152</v>
      </c>
      <c r="C136" s="94"/>
      <c r="D136" s="133" t="e">
        <f>'Net Plant'!J15*1000</f>
        <v>#REF!</v>
      </c>
      <c r="E136" s="102" t="s">
        <v>151</v>
      </c>
      <c r="F136" s="132" t="e">
        <f>D136/$D$129*$D$127</f>
        <v>#REF!</v>
      </c>
      <c r="G136" s="102" t="str">
        <f>"M = ("&amp;E136&amp;"/F) x E"</f>
        <v>M = (I/F) x E</v>
      </c>
      <c r="T136" s="49"/>
      <c r="U136" s="49"/>
      <c r="V136" s="49"/>
      <c r="W136" s="49"/>
      <c r="X136" s="49"/>
      <c r="Y136" s="49"/>
      <c r="Z136" s="49"/>
      <c r="AA136" s="49"/>
      <c r="AB136" s="49"/>
    </row>
    <row r="137" spans="1:28">
      <c r="A137" s="49"/>
      <c r="B137" s="94" t="s">
        <v>150</v>
      </c>
      <c r="C137" s="94"/>
      <c r="D137" s="133" t="e">
        <f>'Net Plant'!J16*1000</f>
        <v>#REF!</v>
      </c>
      <c r="E137" s="102" t="s">
        <v>149</v>
      </c>
      <c r="F137" s="132" t="e">
        <f>D137/$D$129*$D$127</f>
        <v>#REF!</v>
      </c>
      <c r="G137" s="102" t="str">
        <f>"N = ("&amp;E137&amp;"/F) x E"</f>
        <v>N = (J/F) x E</v>
      </c>
      <c r="T137" s="49"/>
      <c r="U137" s="49"/>
      <c r="V137" s="49"/>
      <c r="W137" s="49"/>
      <c r="X137" s="49"/>
      <c r="Y137" s="49"/>
      <c r="Z137" s="49"/>
      <c r="AA137" s="49"/>
      <c r="AB137" s="49"/>
    </row>
    <row r="138" spans="1:28">
      <c r="A138" s="49"/>
      <c r="B138" s="94"/>
      <c r="C138" s="94"/>
      <c r="D138" s="131"/>
      <c r="E138" s="130"/>
      <c r="T138" s="49"/>
      <c r="U138" s="49"/>
      <c r="V138" s="49"/>
      <c r="W138" s="49"/>
      <c r="X138" s="49"/>
      <c r="Y138" s="49"/>
      <c r="Z138" s="49"/>
      <c r="AA138" s="49"/>
      <c r="AB138" s="49"/>
    </row>
    <row r="139" spans="1:28">
      <c r="A139" s="49"/>
      <c r="B139" s="94"/>
      <c r="C139" s="94"/>
      <c r="D139" s="131"/>
      <c r="E139" s="130"/>
      <c r="T139" s="49"/>
      <c r="U139" s="49"/>
      <c r="V139" s="49"/>
      <c r="W139" s="49"/>
      <c r="X139" s="49"/>
      <c r="Y139" s="49"/>
      <c r="Z139" s="49"/>
      <c r="AA139" s="49"/>
      <c r="AB139" s="49"/>
    </row>
    <row r="140" spans="1:28">
      <c r="A140" s="49"/>
      <c r="B140" s="129" t="s">
        <v>148</v>
      </c>
      <c r="C140" s="94"/>
      <c r="D140" s="94"/>
      <c r="E140" s="105"/>
      <c r="T140" s="49"/>
      <c r="U140" s="49"/>
      <c r="V140" s="49"/>
      <c r="W140" s="49"/>
      <c r="X140" s="49"/>
      <c r="Y140" s="49"/>
      <c r="Z140" s="49"/>
      <c r="AA140" s="49"/>
      <c r="AB140" s="49"/>
    </row>
    <row r="141" spans="1:28">
      <c r="A141" s="49"/>
      <c r="B141" s="94" t="s">
        <v>147</v>
      </c>
      <c r="C141" s="94" t="s">
        <v>146</v>
      </c>
      <c r="D141" s="136" t="e">
        <f>F134/D120</f>
        <v>#REF!</v>
      </c>
      <c r="E141" s="102" t="s">
        <v>145</v>
      </c>
      <c r="T141" s="49"/>
      <c r="U141" s="49"/>
      <c r="V141" s="49"/>
      <c r="W141" s="49"/>
      <c r="X141" s="49"/>
      <c r="Y141" s="49"/>
      <c r="Z141" s="49"/>
      <c r="AA141" s="49"/>
      <c r="AB141" s="49"/>
    </row>
    <row r="142" spans="1:28">
      <c r="A142" s="49"/>
      <c r="B142" s="94" t="s">
        <v>144</v>
      </c>
      <c r="C142" s="94" t="s">
        <v>143</v>
      </c>
      <c r="D142" s="136" t="e">
        <f>F135/D121</f>
        <v>#REF!</v>
      </c>
      <c r="E142" s="102" t="s">
        <v>142</v>
      </c>
      <c r="T142" s="49"/>
      <c r="U142" s="49"/>
      <c r="V142" s="49"/>
      <c r="W142" s="49"/>
      <c r="X142" s="49"/>
      <c r="Y142" s="49"/>
      <c r="Z142" s="49"/>
      <c r="AA142" s="49"/>
      <c r="AB142" s="49"/>
    </row>
    <row r="143" spans="1:28">
      <c r="A143" s="49"/>
      <c r="B143" s="94" t="s">
        <v>141</v>
      </c>
      <c r="C143" s="94" t="s">
        <v>140</v>
      </c>
      <c r="D143" s="136" t="e">
        <f>F136/D122</f>
        <v>#REF!</v>
      </c>
      <c r="E143" s="102" t="s">
        <v>139</v>
      </c>
      <c r="T143" s="49"/>
      <c r="U143" s="49"/>
      <c r="V143" s="49"/>
      <c r="W143" s="49"/>
      <c r="X143" s="49"/>
      <c r="Y143" s="49"/>
      <c r="Z143" s="49"/>
      <c r="AA143" s="49"/>
      <c r="AB143" s="49"/>
    </row>
    <row r="144" spans="1:28">
      <c r="A144" s="49"/>
      <c r="B144" s="94" t="s">
        <v>138</v>
      </c>
      <c r="C144" s="94" t="s">
        <v>137</v>
      </c>
      <c r="D144" s="127" t="e">
        <f>F137/D123</f>
        <v>#REF!</v>
      </c>
      <c r="E144" s="102" t="s">
        <v>136</v>
      </c>
      <c r="T144" s="49"/>
      <c r="U144" s="49"/>
      <c r="V144" s="49"/>
      <c r="W144" s="49"/>
      <c r="X144" s="49"/>
      <c r="Y144" s="49"/>
      <c r="Z144" s="49"/>
      <c r="AA144" s="49"/>
      <c r="AB144" s="49"/>
    </row>
    <row r="145" spans="1:28">
      <c r="A145" s="49"/>
      <c r="B145" s="94" t="s">
        <v>135</v>
      </c>
      <c r="C145" s="94" t="s">
        <v>97</v>
      </c>
      <c r="D145" s="126" t="e">
        <f>D45</f>
        <v>#REF!</v>
      </c>
      <c r="E145" s="102" t="s">
        <v>134</v>
      </c>
      <c r="F145" s="94"/>
      <c r="T145" s="49"/>
      <c r="U145" s="49"/>
      <c r="V145" s="49"/>
      <c r="W145" s="49"/>
      <c r="X145" s="49"/>
      <c r="Y145" s="49"/>
      <c r="Z145" s="49"/>
      <c r="AA145" s="49"/>
      <c r="AB145" s="49"/>
    </row>
    <row r="146" spans="1:28">
      <c r="A146" s="49"/>
      <c r="T146" s="49"/>
      <c r="U146" s="49"/>
      <c r="V146" s="49"/>
      <c r="W146" s="49"/>
      <c r="X146" s="49"/>
      <c r="Y146" s="49"/>
      <c r="Z146" s="49"/>
      <c r="AA146" s="49"/>
      <c r="AB146" s="49"/>
    </row>
    <row r="147" spans="1:28">
      <c r="T147" s="49"/>
      <c r="U147" s="49"/>
      <c r="V147" s="49"/>
      <c r="W147" s="49"/>
      <c r="X147" s="49"/>
      <c r="Y147" s="49"/>
      <c r="Z147" s="49"/>
      <c r="AA147" s="49"/>
      <c r="AB147" s="49"/>
    </row>
    <row r="148" spans="1:28" s="87" customFormat="1"/>
    <row r="149" spans="1:28">
      <c r="T149" s="49"/>
      <c r="U149" s="49"/>
      <c r="V149" s="49"/>
      <c r="W149" s="49"/>
      <c r="X149" s="49"/>
      <c r="Y149" s="49"/>
      <c r="Z149" s="49"/>
      <c r="AA149" s="49"/>
      <c r="AB149" s="49"/>
    </row>
    <row r="150" spans="1:28">
      <c r="A150" s="43" t="s">
        <v>133</v>
      </c>
      <c r="B150" s="94"/>
      <c r="C150" s="94"/>
      <c r="D150" s="94"/>
      <c r="E150" s="94"/>
      <c r="F150" s="94"/>
      <c r="G150" s="94"/>
      <c r="H150" s="94"/>
      <c r="I150" s="94"/>
      <c r="J150" s="94"/>
      <c r="K150" s="94"/>
      <c r="L150" s="94"/>
      <c r="M150" s="94"/>
      <c r="N150" s="94"/>
      <c r="T150" s="49"/>
      <c r="U150" s="49"/>
      <c r="V150" s="49"/>
      <c r="W150" s="49"/>
      <c r="X150" s="49"/>
      <c r="Y150" s="49"/>
      <c r="Z150" s="49"/>
      <c r="AA150" s="49"/>
      <c r="AB150" s="49"/>
    </row>
    <row r="151" spans="1:28">
      <c r="A151" s="9" t="s">
        <v>132</v>
      </c>
      <c r="B151" s="94"/>
      <c r="C151" s="94"/>
      <c r="D151" s="94"/>
      <c r="E151" s="94"/>
      <c r="F151" s="94"/>
      <c r="G151" s="94"/>
      <c r="H151" s="94"/>
      <c r="I151" s="94"/>
      <c r="J151" s="94"/>
      <c r="K151" s="125" t="s">
        <v>131</v>
      </c>
      <c r="L151" s="94"/>
      <c r="M151" s="94"/>
      <c r="N151" s="94"/>
      <c r="T151" s="49"/>
      <c r="U151" s="49"/>
      <c r="V151" s="49"/>
      <c r="W151" s="49"/>
      <c r="X151" s="49"/>
      <c r="Y151" s="49"/>
      <c r="Z151" s="49"/>
      <c r="AA151" s="49"/>
      <c r="AB151" s="49"/>
    </row>
    <row r="152" spans="1:28">
      <c r="A152" s="94"/>
      <c r="B152" s="94"/>
      <c r="C152" s="94"/>
      <c r="D152" s="94"/>
      <c r="E152" s="94"/>
      <c r="F152" s="94"/>
      <c r="G152" s="94"/>
      <c r="H152" s="94"/>
      <c r="I152" s="94"/>
      <c r="J152" s="94"/>
      <c r="K152" s="94"/>
      <c r="L152" s="94"/>
      <c r="M152" s="94"/>
      <c r="N152" s="94"/>
    </row>
    <row r="153" spans="1:28">
      <c r="A153" s="124" t="s">
        <v>130</v>
      </c>
      <c r="B153" s="94"/>
      <c r="C153" s="94"/>
      <c r="D153" s="94"/>
      <c r="E153" s="94"/>
      <c r="F153" s="94"/>
      <c r="G153" s="94"/>
      <c r="H153" s="94"/>
      <c r="I153" s="94"/>
      <c r="J153" s="94"/>
      <c r="K153" s="94"/>
      <c r="L153" s="94"/>
      <c r="M153" s="94"/>
      <c r="N153" s="94"/>
    </row>
    <row r="154" spans="1:28">
      <c r="A154" s="124"/>
      <c r="B154" s="94"/>
      <c r="C154" s="94"/>
      <c r="D154" s="94"/>
      <c r="E154" s="94"/>
      <c r="F154" s="94"/>
      <c r="G154" s="94"/>
      <c r="H154" s="94"/>
      <c r="I154" s="94"/>
      <c r="J154" s="94"/>
      <c r="K154" s="94"/>
      <c r="L154" s="94"/>
      <c r="M154" s="94"/>
      <c r="N154" s="94"/>
    </row>
    <row r="155" spans="1:28" ht="15.6">
      <c r="A155" s="123" t="s">
        <v>129</v>
      </c>
      <c r="B155" s="94"/>
      <c r="C155" s="94"/>
      <c r="D155" s="94"/>
      <c r="E155" s="94"/>
      <c r="F155" s="94"/>
      <c r="G155" s="94"/>
      <c r="H155" s="94"/>
      <c r="I155" s="94"/>
      <c r="J155" s="94"/>
      <c r="K155" s="94"/>
      <c r="L155" s="94"/>
      <c r="M155" s="94"/>
      <c r="N155" s="94"/>
    </row>
    <row r="156" spans="1:28">
      <c r="A156" s="9"/>
      <c r="B156" s="94"/>
      <c r="C156" s="94"/>
      <c r="D156" s="94"/>
      <c r="E156" s="94"/>
      <c r="F156" s="94"/>
      <c r="G156" s="94"/>
      <c r="H156" s="94"/>
      <c r="I156" s="94"/>
      <c r="J156" s="94"/>
      <c r="K156" s="94"/>
      <c r="L156" s="94"/>
      <c r="M156" s="94"/>
      <c r="N156" s="94"/>
    </row>
    <row r="157" spans="1:28" ht="16.2" thickBot="1">
      <c r="A157" s="113" t="s">
        <v>128</v>
      </c>
      <c r="B157" s="94"/>
      <c r="C157" s="94"/>
      <c r="D157" s="94"/>
      <c r="E157" s="94"/>
      <c r="F157" s="94"/>
      <c r="G157" s="94"/>
      <c r="H157" s="94"/>
      <c r="I157" s="94"/>
      <c r="J157" s="94"/>
      <c r="K157" s="94"/>
      <c r="L157" s="94"/>
      <c r="M157" s="94"/>
      <c r="N157" s="94"/>
    </row>
    <row r="158" spans="1:28" ht="14.4" thickBot="1">
      <c r="A158" s="94"/>
      <c r="B158" s="94"/>
      <c r="C158" s="94"/>
      <c r="D158" s="94"/>
      <c r="E158" s="94"/>
      <c r="F158" s="94"/>
      <c r="G158" s="105" t="s">
        <v>121</v>
      </c>
      <c r="H158" s="94"/>
      <c r="I158" s="94"/>
      <c r="J158" s="112" t="s">
        <v>120</v>
      </c>
      <c r="K158" s="91"/>
      <c r="L158" s="111"/>
      <c r="M158" s="94"/>
      <c r="N158" s="94"/>
    </row>
    <row r="159" spans="1:28">
      <c r="A159" s="105"/>
      <c r="B159" s="105"/>
      <c r="C159" s="105" t="s">
        <v>117</v>
      </c>
      <c r="D159" s="105" t="s">
        <v>119</v>
      </c>
      <c r="E159" s="105" t="s">
        <v>118</v>
      </c>
      <c r="F159" s="105" t="s">
        <v>117</v>
      </c>
      <c r="G159" s="105" t="s">
        <v>116</v>
      </c>
      <c r="H159" s="105" t="s">
        <v>115</v>
      </c>
      <c r="I159" s="105"/>
      <c r="J159" s="105" t="s">
        <v>110</v>
      </c>
      <c r="K159" s="105" t="s">
        <v>114</v>
      </c>
      <c r="L159" s="94"/>
      <c r="M159" s="94"/>
      <c r="N159" s="94"/>
    </row>
    <row r="160" spans="1:28">
      <c r="A160" s="110" t="s">
        <v>113</v>
      </c>
      <c r="B160" s="110" t="s">
        <v>112</v>
      </c>
      <c r="C160" s="110" t="s">
        <v>111</v>
      </c>
      <c r="D160" s="110" t="s">
        <v>111</v>
      </c>
      <c r="E160" s="110" t="s">
        <v>111</v>
      </c>
      <c r="F160" s="110" t="s">
        <v>110</v>
      </c>
      <c r="G160" s="110" t="s">
        <v>110</v>
      </c>
      <c r="H160" s="110" t="s">
        <v>110</v>
      </c>
      <c r="I160" s="110" t="s">
        <v>110</v>
      </c>
      <c r="J160" s="110" t="s">
        <v>109</v>
      </c>
      <c r="K160" s="110" t="s">
        <v>108</v>
      </c>
      <c r="L160" s="110" t="s">
        <v>1</v>
      </c>
      <c r="M160" s="94"/>
      <c r="N160" s="94"/>
    </row>
    <row r="161" spans="1:15">
      <c r="A161" s="105" t="s">
        <v>107</v>
      </c>
      <c r="B161" s="105" t="s">
        <v>106</v>
      </c>
      <c r="C161" s="105"/>
      <c r="D161" s="105"/>
      <c r="E161" s="105"/>
      <c r="F161" s="105" t="s">
        <v>105</v>
      </c>
      <c r="G161" s="105" t="s">
        <v>105</v>
      </c>
      <c r="H161" s="105" t="s">
        <v>105</v>
      </c>
      <c r="I161" s="105" t="s">
        <v>105</v>
      </c>
      <c r="J161" s="105" t="s">
        <v>104</v>
      </c>
      <c r="K161" s="105" t="s">
        <v>104</v>
      </c>
      <c r="L161" s="105" t="s">
        <v>104</v>
      </c>
      <c r="M161" s="94"/>
      <c r="N161" s="94"/>
    </row>
    <row r="162" spans="1:15">
      <c r="A162" s="94"/>
      <c r="B162" s="94"/>
      <c r="C162" s="94"/>
      <c r="D162" s="94"/>
      <c r="E162" s="94"/>
      <c r="F162" s="94"/>
      <c r="G162" s="94"/>
      <c r="H162" s="94"/>
      <c r="I162" s="94"/>
      <c r="J162" s="94"/>
      <c r="K162" s="94"/>
      <c r="L162" s="94"/>
      <c r="M162" s="94"/>
      <c r="N162" s="94"/>
    </row>
    <row r="163" spans="1:15">
      <c r="A163" s="94">
        <f>B57</f>
        <v>50</v>
      </c>
      <c r="B163" s="94">
        <f>C57</f>
        <v>50</v>
      </c>
      <c r="C163" s="94">
        <v>1</v>
      </c>
      <c r="D163" s="94">
        <f>'SNB-2018'!I57</f>
        <v>2</v>
      </c>
      <c r="E163" s="109">
        <f>'SNB-2018'!J57</f>
        <v>0</v>
      </c>
      <c r="F163" s="108" t="e">
        <f t="shared" ref="F163:F180" si="2">(C163*$D$142)+(D163*$D$143)</f>
        <v>#REF!</v>
      </c>
      <c r="G163" s="108" t="e">
        <f t="shared" ref="G163:G180" si="3">$D$144*A163*1000</f>
        <v>#REF!</v>
      </c>
      <c r="H163" s="108" t="e">
        <f t="shared" ref="H163:H180" si="4">E163*$D$141</f>
        <v>#REF!</v>
      </c>
      <c r="I163" s="107" t="e">
        <f t="shared" ref="I163:I180" si="5">F163+G163+H163</f>
        <v>#REF!</v>
      </c>
      <c r="J163" s="106" t="e">
        <f t="shared" ref="J163:J180" si="6">I163/A163/365/1000</f>
        <v>#REF!</v>
      </c>
      <c r="K163" s="106" t="e">
        <f t="shared" ref="K163:K180" si="7">$D$45</f>
        <v>#REF!</v>
      </c>
      <c r="L163" s="106" t="e">
        <f t="shared" ref="L163:L180" si="8">K163+J163</f>
        <v>#REF!</v>
      </c>
      <c r="M163" s="94"/>
      <c r="N163" s="94"/>
    </row>
    <row r="164" spans="1:15">
      <c r="A164" s="94">
        <f>A163</f>
        <v>50</v>
      </c>
      <c r="B164" s="94">
        <f t="shared" ref="B164:B180" si="9">C58</f>
        <v>100</v>
      </c>
      <c r="C164" s="94">
        <v>1</v>
      </c>
      <c r="D164" s="94">
        <f>'SNB-2018'!I58</f>
        <v>7</v>
      </c>
      <c r="E164" s="109">
        <f>'SNB-2018'!J58</f>
        <v>0.76800000000000002</v>
      </c>
      <c r="F164" s="108" t="e">
        <f t="shared" si="2"/>
        <v>#REF!</v>
      </c>
      <c r="G164" s="108" t="e">
        <f t="shared" si="3"/>
        <v>#REF!</v>
      </c>
      <c r="H164" s="108" t="e">
        <f t="shared" si="4"/>
        <v>#REF!</v>
      </c>
      <c r="I164" s="107" t="e">
        <f t="shared" si="5"/>
        <v>#REF!</v>
      </c>
      <c r="J164" s="106" t="e">
        <f t="shared" si="6"/>
        <v>#REF!</v>
      </c>
      <c r="K164" s="106" t="e">
        <f t="shared" si="7"/>
        <v>#REF!</v>
      </c>
      <c r="L164" s="106" t="e">
        <f t="shared" si="8"/>
        <v>#REF!</v>
      </c>
      <c r="M164" s="94"/>
      <c r="N164" s="122"/>
      <c r="O164" s="121"/>
    </row>
    <row r="165" spans="1:15">
      <c r="A165" s="94">
        <f>A164</f>
        <v>50</v>
      </c>
      <c r="B165" s="94">
        <f t="shared" si="9"/>
        <v>150</v>
      </c>
      <c r="C165" s="94">
        <v>1</v>
      </c>
      <c r="D165" s="94">
        <f>'SNB-2018'!I59</f>
        <v>7</v>
      </c>
      <c r="E165" s="109">
        <f>'SNB-2018'!J59</f>
        <v>2.4320000000000004</v>
      </c>
      <c r="F165" s="108" t="e">
        <f t="shared" si="2"/>
        <v>#REF!</v>
      </c>
      <c r="G165" s="108" t="e">
        <f t="shared" si="3"/>
        <v>#REF!</v>
      </c>
      <c r="H165" s="108" t="e">
        <f t="shared" si="4"/>
        <v>#REF!</v>
      </c>
      <c r="I165" s="107" t="e">
        <f t="shared" si="5"/>
        <v>#REF!</v>
      </c>
      <c r="J165" s="106" t="e">
        <f t="shared" si="6"/>
        <v>#REF!</v>
      </c>
      <c r="K165" s="106" t="e">
        <f t="shared" si="7"/>
        <v>#REF!</v>
      </c>
      <c r="L165" s="106" t="e">
        <f t="shared" si="8"/>
        <v>#REF!</v>
      </c>
      <c r="M165" s="94"/>
      <c r="N165" s="122"/>
      <c r="O165" s="121"/>
    </row>
    <row r="166" spans="1:15">
      <c r="A166" s="94">
        <f>A165</f>
        <v>50</v>
      </c>
      <c r="B166" s="94">
        <f t="shared" si="9"/>
        <v>200</v>
      </c>
      <c r="C166" s="94">
        <v>1</v>
      </c>
      <c r="D166" s="94">
        <f>'SNB-2018'!I60</f>
        <v>7</v>
      </c>
      <c r="E166" s="109">
        <f>'SNB-2018'!J60</f>
        <v>4.4799999999999995</v>
      </c>
      <c r="F166" s="108" t="e">
        <f t="shared" si="2"/>
        <v>#REF!</v>
      </c>
      <c r="G166" s="108" t="e">
        <f t="shared" si="3"/>
        <v>#REF!</v>
      </c>
      <c r="H166" s="108" t="e">
        <f t="shared" si="4"/>
        <v>#REF!</v>
      </c>
      <c r="I166" s="107" t="e">
        <f t="shared" si="5"/>
        <v>#REF!</v>
      </c>
      <c r="J166" s="106" t="e">
        <f t="shared" si="6"/>
        <v>#REF!</v>
      </c>
      <c r="K166" s="106" t="e">
        <f t="shared" si="7"/>
        <v>#REF!</v>
      </c>
      <c r="L166" s="106" t="e">
        <f t="shared" si="8"/>
        <v>#REF!</v>
      </c>
      <c r="M166" s="94"/>
      <c r="N166" s="122"/>
      <c r="O166" s="121"/>
    </row>
    <row r="167" spans="1:15">
      <c r="A167" s="94">
        <f>A166</f>
        <v>50</v>
      </c>
      <c r="B167" s="94">
        <f t="shared" si="9"/>
        <v>250</v>
      </c>
      <c r="C167" s="94">
        <v>1</v>
      </c>
      <c r="D167" s="94">
        <f>'SNB-2018'!I61</f>
        <v>7</v>
      </c>
      <c r="E167" s="109">
        <f>'SNB-2018'!J61</f>
        <v>7.8079999999999998</v>
      </c>
      <c r="F167" s="108" t="e">
        <f t="shared" si="2"/>
        <v>#REF!</v>
      </c>
      <c r="G167" s="108" t="e">
        <f t="shared" si="3"/>
        <v>#REF!</v>
      </c>
      <c r="H167" s="108" t="e">
        <f t="shared" si="4"/>
        <v>#REF!</v>
      </c>
      <c r="I167" s="107" t="e">
        <f t="shared" si="5"/>
        <v>#REF!</v>
      </c>
      <c r="J167" s="106" t="e">
        <f t="shared" si="6"/>
        <v>#REF!</v>
      </c>
      <c r="K167" s="106" t="e">
        <f t="shared" si="7"/>
        <v>#REF!</v>
      </c>
      <c r="L167" s="106" t="e">
        <f t="shared" si="8"/>
        <v>#REF!</v>
      </c>
      <c r="M167" s="94"/>
      <c r="N167" s="122"/>
      <c r="O167" s="121"/>
    </row>
    <row r="168" spans="1:15">
      <c r="A168" s="94">
        <f>A167</f>
        <v>50</v>
      </c>
      <c r="B168" s="94">
        <f t="shared" si="9"/>
        <v>300</v>
      </c>
      <c r="C168" s="94">
        <v>1</v>
      </c>
      <c r="D168" s="94">
        <f>'SNB-2018'!I62</f>
        <v>7</v>
      </c>
      <c r="E168" s="109">
        <f>'SNB-2018'!J62</f>
        <v>12.938000000000001</v>
      </c>
      <c r="F168" s="108" t="e">
        <f t="shared" si="2"/>
        <v>#REF!</v>
      </c>
      <c r="G168" s="108" t="e">
        <f t="shared" si="3"/>
        <v>#REF!</v>
      </c>
      <c r="H168" s="108" t="e">
        <f t="shared" si="4"/>
        <v>#REF!</v>
      </c>
      <c r="I168" s="107" t="e">
        <f t="shared" si="5"/>
        <v>#REF!</v>
      </c>
      <c r="J168" s="106" t="e">
        <f t="shared" si="6"/>
        <v>#REF!</v>
      </c>
      <c r="K168" s="106" t="e">
        <f t="shared" si="7"/>
        <v>#REF!</v>
      </c>
      <c r="L168" s="106" t="e">
        <f t="shared" si="8"/>
        <v>#REF!</v>
      </c>
      <c r="M168" s="94"/>
      <c r="N168" s="122"/>
      <c r="O168" s="121"/>
    </row>
    <row r="169" spans="1:15">
      <c r="A169" s="94">
        <f>B63</f>
        <v>100</v>
      </c>
      <c r="B169" s="94">
        <f t="shared" si="9"/>
        <v>100</v>
      </c>
      <c r="C169" s="94">
        <v>1</v>
      </c>
      <c r="D169" s="94">
        <f>'SNB-2018'!I63</f>
        <v>7</v>
      </c>
      <c r="E169" s="109">
        <f>'SNB-2018'!J63</f>
        <v>0.76800000000000002</v>
      </c>
      <c r="F169" s="108" t="e">
        <f t="shared" si="2"/>
        <v>#REF!</v>
      </c>
      <c r="G169" s="108" t="e">
        <f t="shared" si="3"/>
        <v>#REF!</v>
      </c>
      <c r="H169" s="108" t="e">
        <f t="shared" si="4"/>
        <v>#REF!</v>
      </c>
      <c r="I169" s="107" t="e">
        <f t="shared" si="5"/>
        <v>#REF!</v>
      </c>
      <c r="J169" s="106" t="e">
        <f t="shared" si="6"/>
        <v>#REF!</v>
      </c>
      <c r="K169" s="106" t="e">
        <f t="shared" si="7"/>
        <v>#REF!</v>
      </c>
      <c r="L169" s="106" t="e">
        <f t="shared" si="8"/>
        <v>#REF!</v>
      </c>
      <c r="M169" s="94"/>
      <c r="N169" s="122"/>
      <c r="O169" s="121"/>
    </row>
    <row r="170" spans="1:15">
      <c r="A170" s="94">
        <f>A169</f>
        <v>100</v>
      </c>
      <c r="B170" s="94">
        <f t="shared" si="9"/>
        <v>150</v>
      </c>
      <c r="C170" s="94">
        <v>1</v>
      </c>
      <c r="D170" s="94">
        <f>'SNB-2018'!I64</f>
        <v>7</v>
      </c>
      <c r="E170" s="109">
        <f>'SNB-2018'!J64</f>
        <v>2.5600000000000005</v>
      </c>
      <c r="F170" s="108" t="e">
        <f t="shared" si="2"/>
        <v>#REF!</v>
      </c>
      <c r="G170" s="108" t="e">
        <f t="shared" si="3"/>
        <v>#REF!</v>
      </c>
      <c r="H170" s="108" t="e">
        <f t="shared" si="4"/>
        <v>#REF!</v>
      </c>
      <c r="I170" s="107" t="e">
        <f t="shared" si="5"/>
        <v>#REF!</v>
      </c>
      <c r="J170" s="106" t="e">
        <f t="shared" si="6"/>
        <v>#REF!</v>
      </c>
      <c r="K170" s="106" t="e">
        <f t="shared" si="7"/>
        <v>#REF!</v>
      </c>
      <c r="L170" s="106" t="e">
        <f t="shared" si="8"/>
        <v>#REF!</v>
      </c>
      <c r="M170" s="94"/>
      <c r="N170" s="122"/>
      <c r="O170" s="121"/>
    </row>
    <row r="171" spans="1:15">
      <c r="A171" s="94">
        <f>A170</f>
        <v>100</v>
      </c>
      <c r="B171" s="94">
        <f t="shared" si="9"/>
        <v>200</v>
      </c>
      <c r="C171" s="94">
        <v>1</v>
      </c>
      <c r="D171" s="94">
        <f>'SNB-2018'!I65</f>
        <v>7</v>
      </c>
      <c r="E171" s="109">
        <f>'SNB-2018'!J65</f>
        <v>5.120000000000001</v>
      </c>
      <c r="F171" s="108" t="e">
        <f t="shared" si="2"/>
        <v>#REF!</v>
      </c>
      <c r="G171" s="108" t="e">
        <f t="shared" si="3"/>
        <v>#REF!</v>
      </c>
      <c r="H171" s="108" t="e">
        <f t="shared" si="4"/>
        <v>#REF!</v>
      </c>
      <c r="I171" s="107" t="e">
        <f t="shared" si="5"/>
        <v>#REF!</v>
      </c>
      <c r="J171" s="106" t="e">
        <f t="shared" si="6"/>
        <v>#REF!</v>
      </c>
      <c r="K171" s="106" t="e">
        <f t="shared" si="7"/>
        <v>#REF!</v>
      </c>
      <c r="L171" s="106" t="e">
        <f t="shared" si="8"/>
        <v>#REF!</v>
      </c>
      <c r="M171" s="94"/>
      <c r="N171" s="122"/>
      <c r="O171" s="121"/>
    </row>
    <row r="172" spans="1:15">
      <c r="A172" s="94">
        <f>A171</f>
        <v>100</v>
      </c>
      <c r="B172" s="94">
        <f t="shared" si="9"/>
        <v>250</v>
      </c>
      <c r="C172" s="94">
        <v>1</v>
      </c>
      <c r="D172" s="94">
        <f>'SNB-2018'!I66</f>
        <v>7</v>
      </c>
      <c r="E172" s="109">
        <f>'SNB-2018'!J66</f>
        <v>9.9840000000000018</v>
      </c>
      <c r="F172" s="108" t="e">
        <f t="shared" si="2"/>
        <v>#REF!</v>
      </c>
      <c r="G172" s="108" t="e">
        <f t="shared" si="3"/>
        <v>#REF!</v>
      </c>
      <c r="H172" s="108" t="e">
        <f t="shared" si="4"/>
        <v>#REF!</v>
      </c>
      <c r="I172" s="107" t="e">
        <f t="shared" si="5"/>
        <v>#REF!</v>
      </c>
      <c r="J172" s="106" t="e">
        <f t="shared" si="6"/>
        <v>#REF!</v>
      </c>
      <c r="K172" s="106" t="e">
        <f t="shared" si="7"/>
        <v>#REF!</v>
      </c>
      <c r="L172" s="106" t="e">
        <f t="shared" si="8"/>
        <v>#REF!</v>
      </c>
      <c r="M172" s="94"/>
      <c r="N172" s="122"/>
      <c r="O172" s="121"/>
    </row>
    <row r="173" spans="1:15">
      <c r="A173" s="94">
        <f>A172</f>
        <v>100</v>
      </c>
      <c r="B173" s="94">
        <f t="shared" si="9"/>
        <v>300</v>
      </c>
      <c r="C173" s="94">
        <v>1</v>
      </c>
      <c r="D173" s="94">
        <f>'SNB-2018'!I67</f>
        <v>7</v>
      </c>
      <c r="E173" s="109">
        <f>'SNB-2018'!J67</f>
        <v>13.49</v>
      </c>
      <c r="F173" s="108" t="e">
        <f t="shared" si="2"/>
        <v>#REF!</v>
      </c>
      <c r="G173" s="108" t="e">
        <f t="shared" si="3"/>
        <v>#REF!</v>
      </c>
      <c r="H173" s="108" t="e">
        <f t="shared" si="4"/>
        <v>#REF!</v>
      </c>
      <c r="I173" s="107" t="e">
        <f t="shared" si="5"/>
        <v>#REF!</v>
      </c>
      <c r="J173" s="106" t="e">
        <f t="shared" si="6"/>
        <v>#REF!</v>
      </c>
      <c r="K173" s="106" t="e">
        <f t="shared" si="7"/>
        <v>#REF!</v>
      </c>
      <c r="L173" s="106" t="e">
        <f t="shared" si="8"/>
        <v>#REF!</v>
      </c>
      <c r="M173" s="94"/>
      <c r="N173" s="122"/>
      <c r="O173" s="121"/>
    </row>
    <row r="174" spans="1:15">
      <c r="A174" s="94">
        <f>B68</f>
        <v>150</v>
      </c>
      <c r="B174" s="94">
        <f t="shared" si="9"/>
        <v>150</v>
      </c>
      <c r="C174" s="94">
        <v>1</v>
      </c>
      <c r="D174" s="94">
        <f>'SNB-2018'!I68</f>
        <v>7</v>
      </c>
      <c r="E174" s="109">
        <f>'SNB-2018'!J68</f>
        <v>2.5600000000000005</v>
      </c>
      <c r="F174" s="108" t="e">
        <f t="shared" si="2"/>
        <v>#REF!</v>
      </c>
      <c r="G174" s="108" t="e">
        <f t="shared" si="3"/>
        <v>#REF!</v>
      </c>
      <c r="H174" s="108" t="e">
        <f t="shared" si="4"/>
        <v>#REF!</v>
      </c>
      <c r="I174" s="107" t="e">
        <f t="shared" si="5"/>
        <v>#REF!</v>
      </c>
      <c r="J174" s="106" t="e">
        <f t="shared" si="6"/>
        <v>#REF!</v>
      </c>
      <c r="K174" s="106" t="e">
        <f t="shared" si="7"/>
        <v>#REF!</v>
      </c>
      <c r="L174" s="106" t="e">
        <f t="shared" si="8"/>
        <v>#REF!</v>
      </c>
      <c r="M174" s="94"/>
      <c r="N174" s="122"/>
      <c r="O174" s="121"/>
    </row>
    <row r="175" spans="1:15">
      <c r="A175" s="94">
        <f>A174</f>
        <v>150</v>
      </c>
      <c r="B175" s="94">
        <f t="shared" si="9"/>
        <v>200</v>
      </c>
      <c r="C175" s="94">
        <v>1</v>
      </c>
      <c r="D175" s="94">
        <f>'SNB-2018'!I69</f>
        <v>7</v>
      </c>
      <c r="E175" s="109">
        <f>'SNB-2018'!J69</f>
        <v>5.120000000000001</v>
      </c>
      <c r="F175" s="108" t="e">
        <f t="shared" si="2"/>
        <v>#REF!</v>
      </c>
      <c r="G175" s="108" t="e">
        <f t="shared" si="3"/>
        <v>#REF!</v>
      </c>
      <c r="H175" s="108" t="e">
        <f t="shared" si="4"/>
        <v>#REF!</v>
      </c>
      <c r="I175" s="107" t="e">
        <f t="shared" si="5"/>
        <v>#REF!</v>
      </c>
      <c r="J175" s="106" t="e">
        <f t="shared" si="6"/>
        <v>#REF!</v>
      </c>
      <c r="K175" s="106" t="e">
        <f t="shared" si="7"/>
        <v>#REF!</v>
      </c>
      <c r="L175" s="106" t="e">
        <f t="shared" si="8"/>
        <v>#REF!</v>
      </c>
      <c r="M175" s="94"/>
      <c r="N175" s="122"/>
      <c r="O175" s="121"/>
    </row>
    <row r="176" spans="1:15">
      <c r="A176" s="94">
        <f>A175</f>
        <v>150</v>
      </c>
      <c r="B176" s="94">
        <f t="shared" si="9"/>
        <v>250</v>
      </c>
      <c r="C176" s="94">
        <v>1</v>
      </c>
      <c r="D176" s="94">
        <f>'SNB-2018'!I70</f>
        <v>7</v>
      </c>
      <c r="E176" s="109">
        <f>'SNB-2018'!J70</f>
        <v>10.496</v>
      </c>
      <c r="F176" s="108" t="e">
        <f t="shared" si="2"/>
        <v>#REF!</v>
      </c>
      <c r="G176" s="108" t="e">
        <f t="shared" si="3"/>
        <v>#REF!</v>
      </c>
      <c r="H176" s="108" t="e">
        <f t="shared" si="4"/>
        <v>#REF!</v>
      </c>
      <c r="I176" s="107" t="e">
        <f t="shared" si="5"/>
        <v>#REF!</v>
      </c>
      <c r="J176" s="106" t="e">
        <f t="shared" si="6"/>
        <v>#REF!</v>
      </c>
      <c r="K176" s="106" t="e">
        <f t="shared" si="7"/>
        <v>#REF!</v>
      </c>
      <c r="L176" s="106" t="e">
        <f t="shared" si="8"/>
        <v>#REF!</v>
      </c>
      <c r="M176" s="94"/>
      <c r="N176" s="122"/>
      <c r="O176" s="121"/>
    </row>
    <row r="177" spans="1:15">
      <c r="A177" s="94">
        <f>A176</f>
        <v>150</v>
      </c>
      <c r="B177" s="94">
        <f t="shared" si="9"/>
        <v>300</v>
      </c>
      <c r="C177" s="94">
        <v>1</v>
      </c>
      <c r="D177" s="94">
        <f>'SNB-2018'!I71</f>
        <v>7</v>
      </c>
      <c r="E177" s="109">
        <f>'SNB-2018'!J71</f>
        <v>13.628</v>
      </c>
      <c r="F177" s="108" t="e">
        <f t="shared" si="2"/>
        <v>#REF!</v>
      </c>
      <c r="G177" s="108" t="e">
        <f t="shared" si="3"/>
        <v>#REF!</v>
      </c>
      <c r="H177" s="108" t="e">
        <f t="shared" si="4"/>
        <v>#REF!</v>
      </c>
      <c r="I177" s="107" t="e">
        <f t="shared" si="5"/>
        <v>#REF!</v>
      </c>
      <c r="J177" s="106" t="e">
        <f t="shared" si="6"/>
        <v>#REF!</v>
      </c>
      <c r="K177" s="106" t="e">
        <f t="shared" si="7"/>
        <v>#REF!</v>
      </c>
      <c r="L177" s="106" t="e">
        <f t="shared" si="8"/>
        <v>#REF!</v>
      </c>
      <c r="M177" s="94"/>
      <c r="N177" s="122"/>
      <c r="O177" s="121"/>
    </row>
    <row r="178" spans="1:15">
      <c r="A178" s="94">
        <f>B72</f>
        <v>200</v>
      </c>
      <c r="B178" s="94">
        <f t="shared" si="9"/>
        <v>200</v>
      </c>
      <c r="C178" s="94">
        <v>1</v>
      </c>
      <c r="D178" s="94">
        <f>'SNB-2018'!I72</f>
        <v>7</v>
      </c>
      <c r="E178" s="109">
        <f>'SNB-2018'!J72</f>
        <v>5.120000000000001</v>
      </c>
      <c r="F178" s="108" t="e">
        <f t="shared" si="2"/>
        <v>#REF!</v>
      </c>
      <c r="G178" s="108" t="e">
        <f t="shared" si="3"/>
        <v>#REF!</v>
      </c>
      <c r="H178" s="108" t="e">
        <f t="shared" si="4"/>
        <v>#REF!</v>
      </c>
      <c r="I178" s="107" t="e">
        <f t="shared" si="5"/>
        <v>#REF!</v>
      </c>
      <c r="J178" s="106" t="e">
        <f t="shared" si="6"/>
        <v>#REF!</v>
      </c>
      <c r="K178" s="106" t="e">
        <f t="shared" si="7"/>
        <v>#REF!</v>
      </c>
      <c r="L178" s="106" t="e">
        <f t="shared" si="8"/>
        <v>#REF!</v>
      </c>
      <c r="M178" s="94"/>
      <c r="N178" s="122"/>
      <c r="O178" s="121"/>
    </row>
    <row r="179" spans="1:15">
      <c r="A179" s="94">
        <f>A178</f>
        <v>200</v>
      </c>
      <c r="B179" s="94">
        <f t="shared" si="9"/>
        <v>250</v>
      </c>
      <c r="C179" s="94">
        <v>1</v>
      </c>
      <c r="D179" s="94">
        <f>'SNB-2018'!I73</f>
        <v>7</v>
      </c>
      <c r="E179" s="109">
        <f>'SNB-2018'!J73</f>
        <v>10.496</v>
      </c>
      <c r="F179" s="108" t="e">
        <f t="shared" si="2"/>
        <v>#REF!</v>
      </c>
      <c r="G179" s="108" t="e">
        <f t="shared" si="3"/>
        <v>#REF!</v>
      </c>
      <c r="H179" s="108" t="e">
        <f t="shared" si="4"/>
        <v>#REF!</v>
      </c>
      <c r="I179" s="107" t="e">
        <f t="shared" si="5"/>
        <v>#REF!</v>
      </c>
      <c r="J179" s="106" t="e">
        <f t="shared" si="6"/>
        <v>#REF!</v>
      </c>
      <c r="K179" s="106" t="e">
        <f t="shared" si="7"/>
        <v>#REF!</v>
      </c>
      <c r="L179" s="106" t="e">
        <f t="shared" si="8"/>
        <v>#REF!</v>
      </c>
      <c r="M179" s="94"/>
      <c r="N179" s="122"/>
      <c r="O179" s="121"/>
    </row>
    <row r="180" spans="1:15">
      <c r="A180" s="94">
        <f>A179</f>
        <v>200</v>
      </c>
      <c r="B180" s="94">
        <f t="shared" si="9"/>
        <v>300</v>
      </c>
      <c r="C180" s="94">
        <v>1</v>
      </c>
      <c r="D180" s="94">
        <f>'SNB-2018'!I74</f>
        <v>7</v>
      </c>
      <c r="E180" s="109">
        <f>'SNB-2018'!J74</f>
        <v>13.766000000000002</v>
      </c>
      <c r="F180" s="108" t="e">
        <f t="shared" si="2"/>
        <v>#REF!</v>
      </c>
      <c r="G180" s="108" t="e">
        <f t="shared" si="3"/>
        <v>#REF!</v>
      </c>
      <c r="H180" s="108" t="e">
        <f t="shared" si="4"/>
        <v>#REF!</v>
      </c>
      <c r="I180" s="107" t="e">
        <f t="shared" si="5"/>
        <v>#REF!</v>
      </c>
      <c r="J180" s="106" t="e">
        <f t="shared" si="6"/>
        <v>#REF!</v>
      </c>
      <c r="K180" s="106" t="e">
        <f t="shared" si="7"/>
        <v>#REF!</v>
      </c>
      <c r="L180" s="106" t="e">
        <f t="shared" si="8"/>
        <v>#REF!</v>
      </c>
      <c r="M180" s="94"/>
      <c r="N180" s="122"/>
      <c r="O180" s="121"/>
    </row>
    <row r="181" spans="1:15">
      <c r="A181" s="120"/>
      <c r="B181" s="120"/>
      <c r="C181" s="120"/>
      <c r="D181" s="120"/>
      <c r="E181" s="119"/>
      <c r="F181" s="118"/>
      <c r="G181" s="117"/>
      <c r="H181" s="117"/>
      <c r="I181" s="116"/>
      <c r="J181" s="115"/>
      <c r="K181" s="115"/>
      <c r="L181" s="115"/>
      <c r="M181" s="94"/>
      <c r="N181" s="94"/>
    </row>
    <row r="182" spans="1:15">
      <c r="A182" s="120"/>
      <c r="B182" s="120"/>
      <c r="C182" s="120"/>
      <c r="D182" s="120"/>
      <c r="E182" s="119"/>
      <c r="F182" s="118"/>
      <c r="G182" s="117"/>
      <c r="H182" s="117"/>
      <c r="I182" s="116"/>
      <c r="J182" s="115"/>
      <c r="K182" s="115"/>
      <c r="L182" s="115"/>
      <c r="M182" s="94"/>
      <c r="N182" s="94"/>
    </row>
    <row r="183" spans="1:15">
      <c r="A183" s="120"/>
      <c r="B183" s="120"/>
      <c r="C183" s="120"/>
      <c r="D183" s="120"/>
      <c r="E183" s="119"/>
      <c r="F183" s="118"/>
      <c r="G183" s="117"/>
      <c r="H183" s="117"/>
      <c r="I183" s="116"/>
      <c r="J183" s="115"/>
      <c r="K183" s="115"/>
      <c r="L183" s="115"/>
      <c r="M183" s="94"/>
      <c r="N183" s="94"/>
    </row>
    <row r="184" spans="1:15">
      <c r="A184" s="94"/>
      <c r="B184" s="94"/>
      <c r="C184" s="94"/>
      <c r="D184" s="94"/>
      <c r="E184" s="94"/>
      <c r="F184" s="94"/>
      <c r="G184" s="94"/>
      <c r="H184" s="94"/>
      <c r="I184" s="94"/>
      <c r="J184" s="94"/>
      <c r="K184" s="94"/>
      <c r="L184" s="94"/>
      <c r="M184" s="94"/>
      <c r="N184" s="94"/>
    </row>
    <row r="185" spans="1:15">
      <c r="A185" s="94"/>
      <c r="B185" s="94"/>
      <c r="C185" s="94"/>
      <c r="D185" s="94"/>
      <c r="E185" s="94"/>
      <c r="F185" s="94"/>
      <c r="G185" s="94"/>
      <c r="H185" s="94"/>
      <c r="I185" s="94"/>
      <c r="J185" s="104" t="s">
        <v>127</v>
      </c>
      <c r="K185" s="94"/>
      <c r="L185" s="103" t="e">
        <f>AVERAGE(L163:L180)</f>
        <v>#REF!</v>
      </c>
      <c r="M185" s="102" t="s">
        <v>126</v>
      </c>
      <c r="N185" s="114"/>
    </row>
    <row r="186" spans="1:15">
      <c r="A186" s="94"/>
      <c r="B186" s="94"/>
      <c r="C186" s="94"/>
      <c r="D186" s="94"/>
      <c r="E186" s="94"/>
      <c r="F186" s="94"/>
      <c r="G186" s="94"/>
      <c r="H186" s="94"/>
      <c r="I186" s="94"/>
      <c r="J186" s="94"/>
      <c r="K186" s="94"/>
      <c r="L186" s="94"/>
      <c r="M186" s="94"/>
      <c r="N186" s="94"/>
    </row>
    <row r="187" spans="1:15" ht="16.2" thickBot="1">
      <c r="A187" s="113" t="s">
        <v>125</v>
      </c>
      <c r="B187" s="94"/>
      <c r="C187" s="94"/>
      <c r="D187" s="94"/>
      <c r="E187" s="94"/>
      <c r="F187" s="94"/>
      <c r="G187" s="94"/>
      <c r="H187" s="94"/>
      <c r="I187" s="94"/>
      <c r="J187" s="94"/>
      <c r="K187" s="94"/>
      <c r="L187" s="94"/>
      <c r="M187" s="94"/>
      <c r="N187" s="94"/>
    </row>
    <row r="188" spans="1:15" ht="14.4" thickBot="1">
      <c r="A188" s="94"/>
      <c r="B188" s="94"/>
      <c r="C188" s="94"/>
      <c r="D188" s="94"/>
      <c r="E188" s="94"/>
      <c r="F188" s="94"/>
      <c r="G188" s="105" t="s">
        <v>121</v>
      </c>
      <c r="H188" s="94"/>
      <c r="I188" s="94"/>
      <c r="J188" s="112" t="s">
        <v>120</v>
      </c>
      <c r="K188" s="91"/>
      <c r="L188" s="111"/>
      <c r="M188" s="94"/>
      <c r="N188" s="94"/>
    </row>
    <row r="189" spans="1:15">
      <c r="A189" s="105"/>
      <c r="B189" s="105"/>
      <c r="C189" s="105" t="s">
        <v>117</v>
      </c>
      <c r="D189" s="105" t="s">
        <v>119</v>
      </c>
      <c r="E189" s="105" t="s">
        <v>118</v>
      </c>
      <c r="F189" s="105" t="s">
        <v>117</v>
      </c>
      <c r="G189" s="105" t="s">
        <v>116</v>
      </c>
      <c r="H189" s="105" t="s">
        <v>115</v>
      </c>
      <c r="I189" s="105"/>
      <c r="J189" s="105" t="s">
        <v>110</v>
      </c>
      <c r="K189" s="105" t="s">
        <v>114</v>
      </c>
      <c r="L189" s="94"/>
      <c r="M189" s="94"/>
      <c r="N189" s="94"/>
    </row>
    <row r="190" spans="1:15">
      <c r="A190" s="110" t="s">
        <v>113</v>
      </c>
      <c r="B190" s="110" t="s">
        <v>112</v>
      </c>
      <c r="C190" s="110" t="s">
        <v>111</v>
      </c>
      <c r="D190" s="110" t="s">
        <v>111</v>
      </c>
      <c r="E190" s="110" t="s">
        <v>111</v>
      </c>
      <c r="F190" s="110" t="s">
        <v>110</v>
      </c>
      <c r="G190" s="110" t="s">
        <v>110</v>
      </c>
      <c r="H190" s="110" t="s">
        <v>110</v>
      </c>
      <c r="I190" s="110" t="s">
        <v>110</v>
      </c>
      <c r="J190" s="110" t="s">
        <v>109</v>
      </c>
      <c r="K190" s="110" t="s">
        <v>108</v>
      </c>
      <c r="L190" s="110" t="s">
        <v>1</v>
      </c>
      <c r="M190" s="94"/>
      <c r="N190" s="94"/>
    </row>
    <row r="191" spans="1:15">
      <c r="A191" s="105" t="s">
        <v>107</v>
      </c>
      <c r="B191" s="105" t="s">
        <v>106</v>
      </c>
      <c r="C191" s="105"/>
      <c r="D191" s="105"/>
      <c r="E191" s="105"/>
      <c r="F191" s="105" t="s">
        <v>105</v>
      </c>
      <c r="G191" s="105" t="s">
        <v>105</v>
      </c>
      <c r="H191" s="105" t="s">
        <v>105</v>
      </c>
      <c r="I191" s="105" t="s">
        <v>105</v>
      </c>
      <c r="J191" s="105" t="s">
        <v>104</v>
      </c>
      <c r="K191" s="105" t="s">
        <v>104</v>
      </c>
      <c r="L191" s="105" t="s">
        <v>104</v>
      </c>
      <c r="M191" s="94"/>
      <c r="N191" s="94"/>
    </row>
    <row r="192" spans="1:15">
      <c r="A192" s="94"/>
      <c r="B192" s="94"/>
      <c r="C192" s="94"/>
      <c r="D192" s="94"/>
      <c r="E192" s="94"/>
      <c r="F192" s="94"/>
      <c r="G192" s="94"/>
      <c r="H192" s="94"/>
      <c r="I192" s="94"/>
      <c r="J192" s="94"/>
      <c r="K192" s="94"/>
      <c r="L192" s="94"/>
      <c r="M192" s="94"/>
      <c r="N192" s="94"/>
    </row>
    <row r="193" spans="1:14">
      <c r="A193" s="94">
        <v>50</v>
      </c>
      <c r="B193" s="94">
        <v>50</v>
      </c>
      <c r="C193" s="107">
        <f>0</f>
        <v>0</v>
      </c>
      <c r="D193" s="107">
        <f>'SNB-2018'!I87</f>
        <v>0</v>
      </c>
      <c r="E193" s="109">
        <f>'SNB-2018'!F83</f>
        <v>45.400000000000006</v>
      </c>
      <c r="F193" s="108" t="e">
        <f>(C193*$D$142)+(D193*$D$143)</f>
        <v>#REF!</v>
      </c>
      <c r="G193" s="108" t="e">
        <f>$D$144*A193*1000</f>
        <v>#REF!</v>
      </c>
      <c r="H193" s="108" t="e">
        <f>E193*$D$141</f>
        <v>#REF!</v>
      </c>
      <c r="I193" s="107" t="e">
        <f>F193+G193+H193</f>
        <v>#REF!</v>
      </c>
      <c r="J193" s="106" t="e">
        <f>I193/A193/365/1000</f>
        <v>#REF!</v>
      </c>
      <c r="K193" s="106" t="e">
        <f>$D$45</f>
        <v>#REF!</v>
      </c>
      <c r="L193" s="106" t="e">
        <f>K193+J193</f>
        <v>#REF!</v>
      </c>
      <c r="M193" s="94"/>
      <c r="N193" s="94"/>
    </row>
    <row r="194" spans="1:14">
      <c r="A194" s="94">
        <v>100</v>
      </c>
      <c r="B194" s="94">
        <v>100</v>
      </c>
      <c r="C194" s="107">
        <f>0</f>
        <v>0</v>
      </c>
      <c r="D194" s="107">
        <f>'SNB-2018'!I88</f>
        <v>0</v>
      </c>
      <c r="E194" s="109">
        <f>'SNB-2018'!F88</f>
        <v>78.2</v>
      </c>
      <c r="F194" s="108" t="e">
        <f>(C194*$D$142)+(D194*$D$143)</f>
        <v>#REF!</v>
      </c>
      <c r="G194" s="108" t="e">
        <f>$D$144*A194*1000</f>
        <v>#REF!</v>
      </c>
      <c r="H194" s="108" t="e">
        <f>E194*$D$141</f>
        <v>#REF!</v>
      </c>
      <c r="I194" s="107" t="e">
        <f>F194+G194+H194</f>
        <v>#REF!</v>
      </c>
      <c r="J194" s="106" t="e">
        <f>I194/A194/365/1000</f>
        <v>#REF!</v>
      </c>
      <c r="K194" s="106" t="e">
        <f>$D$45</f>
        <v>#REF!</v>
      </c>
      <c r="L194" s="106" t="e">
        <f>K194+J194</f>
        <v>#REF!</v>
      </c>
      <c r="M194" s="94"/>
      <c r="N194" s="94"/>
    </row>
    <row r="195" spans="1:14">
      <c r="A195" s="94">
        <v>150</v>
      </c>
      <c r="B195" s="94">
        <v>150</v>
      </c>
      <c r="C195" s="107">
        <f>0</f>
        <v>0</v>
      </c>
      <c r="D195" s="107">
        <f>'SNB-2018'!I89</f>
        <v>0</v>
      </c>
      <c r="E195" s="109">
        <f>'SNB-2018'!F92</f>
        <v>123.4</v>
      </c>
      <c r="F195" s="108" t="e">
        <f>(C195*$D$142)+(D195*$D$143)</f>
        <v>#REF!</v>
      </c>
      <c r="G195" s="108" t="e">
        <f>$D$144*A195*1000</f>
        <v>#REF!</v>
      </c>
      <c r="H195" s="108" t="e">
        <f>E195*$D$141</f>
        <v>#REF!</v>
      </c>
      <c r="I195" s="107" t="e">
        <f>F195+G195+H195</f>
        <v>#REF!</v>
      </c>
      <c r="J195" s="106" t="e">
        <f>I195/A195/365/1000</f>
        <v>#REF!</v>
      </c>
      <c r="K195" s="106" t="e">
        <f>$D$45</f>
        <v>#REF!</v>
      </c>
      <c r="L195" s="106" t="e">
        <f>K195+J195</f>
        <v>#REF!</v>
      </c>
      <c r="M195" s="94"/>
      <c r="N195" s="94"/>
    </row>
    <row r="196" spans="1:14">
      <c r="A196" s="94">
        <v>200</v>
      </c>
      <c r="B196" s="94">
        <v>200</v>
      </c>
      <c r="C196" s="107">
        <f>0</f>
        <v>0</v>
      </c>
      <c r="D196" s="107">
        <f>'SNB-2018'!I90</f>
        <v>0</v>
      </c>
      <c r="E196" s="109">
        <f>'SNB-2018'!F97</f>
        <v>123.5</v>
      </c>
      <c r="F196" s="108" t="e">
        <f>(C196*$D$142)+(D196*$D$143)</f>
        <v>#REF!</v>
      </c>
      <c r="G196" s="108" t="e">
        <f>$D$144*A196*1000</f>
        <v>#REF!</v>
      </c>
      <c r="H196" s="108" t="e">
        <f>E196*$D$141</f>
        <v>#REF!</v>
      </c>
      <c r="I196" s="107" t="e">
        <f>F196+G196+H196</f>
        <v>#REF!</v>
      </c>
      <c r="J196" s="106" t="e">
        <f>I196/A196/365/1000</f>
        <v>#REF!</v>
      </c>
      <c r="K196" s="106" t="e">
        <f>$D$45</f>
        <v>#REF!</v>
      </c>
      <c r="L196" s="106" t="e">
        <f>K196+J196</f>
        <v>#REF!</v>
      </c>
      <c r="M196" s="94"/>
      <c r="N196" s="94"/>
    </row>
    <row r="197" spans="1:14">
      <c r="A197" s="94"/>
      <c r="B197" s="94"/>
      <c r="C197" s="94"/>
      <c r="D197" s="94"/>
      <c r="E197" s="94"/>
      <c r="F197" s="94"/>
      <c r="G197" s="94"/>
      <c r="H197" s="94"/>
      <c r="I197" s="94"/>
      <c r="J197" s="94"/>
      <c r="K197" s="94"/>
      <c r="L197" s="94"/>
      <c r="M197" s="94"/>
      <c r="N197" s="94"/>
    </row>
    <row r="198" spans="1:14">
      <c r="A198" s="94"/>
      <c r="B198" s="94"/>
      <c r="C198" s="94"/>
      <c r="D198" s="94"/>
      <c r="E198" s="94"/>
      <c r="F198" s="94"/>
      <c r="G198" s="94"/>
      <c r="H198" s="94"/>
      <c r="I198" s="94"/>
      <c r="J198" s="104" t="s">
        <v>124</v>
      </c>
      <c r="K198" s="94"/>
      <c r="L198" s="103" t="e">
        <f>AVERAGE(L193:L196)</f>
        <v>#REF!</v>
      </c>
      <c r="M198" s="94" t="s">
        <v>123</v>
      </c>
      <c r="N198" s="94"/>
    </row>
    <row r="199" spans="1:14">
      <c r="A199" s="94"/>
      <c r="B199" s="94"/>
      <c r="C199" s="94"/>
      <c r="D199" s="94"/>
      <c r="E199" s="94"/>
      <c r="F199" s="94"/>
      <c r="G199" s="94"/>
      <c r="H199" s="94"/>
      <c r="I199" s="94"/>
      <c r="J199" s="104"/>
      <c r="K199" s="94"/>
      <c r="L199" s="103"/>
      <c r="M199" s="94"/>
      <c r="N199" s="94"/>
    </row>
    <row r="200" spans="1:14">
      <c r="M200" s="94"/>
      <c r="N200" s="94"/>
    </row>
    <row r="201" spans="1:14" ht="16.2" thickBot="1">
      <c r="A201" s="113" t="s">
        <v>122</v>
      </c>
      <c r="B201" s="94"/>
      <c r="C201" s="94"/>
      <c r="D201" s="94"/>
      <c r="E201" s="94"/>
      <c r="F201" s="94"/>
      <c r="G201" s="94"/>
      <c r="H201" s="94"/>
      <c r="I201" s="94"/>
      <c r="J201" s="94"/>
      <c r="K201" s="94"/>
      <c r="L201" s="94"/>
      <c r="M201" s="94"/>
      <c r="N201" s="94"/>
    </row>
    <row r="202" spans="1:14" ht="14.4" thickBot="1">
      <c r="A202" s="94"/>
      <c r="B202" s="94"/>
      <c r="C202" s="94"/>
      <c r="D202" s="94"/>
      <c r="E202" s="94"/>
      <c r="F202" s="94"/>
      <c r="G202" s="105" t="s">
        <v>121</v>
      </c>
      <c r="H202" s="94"/>
      <c r="I202" s="94"/>
      <c r="J202" s="112" t="s">
        <v>120</v>
      </c>
      <c r="K202" s="91"/>
      <c r="L202" s="111"/>
      <c r="M202" s="94"/>
      <c r="N202" s="94"/>
    </row>
    <row r="203" spans="1:14">
      <c r="A203" s="105"/>
      <c r="B203" s="105"/>
      <c r="C203" s="105" t="s">
        <v>117</v>
      </c>
      <c r="D203" s="105" t="s">
        <v>119</v>
      </c>
      <c r="E203" s="105" t="s">
        <v>118</v>
      </c>
      <c r="F203" s="105" t="s">
        <v>117</v>
      </c>
      <c r="G203" s="105" t="s">
        <v>116</v>
      </c>
      <c r="H203" s="105" t="s">
        <v>115</v>
      </c>
      <c r="I203" s="105"/>
      <c r="J203" s="105" t="s">
        <v>110</v>
      </c>
      <c r="K203" s="105" t="s">
        <v>114</v>
      </c>
      <c r="L203" s="94"/>
      <c r="M203" s="94"/>
      <c r="N203" s="94"/>
    </row>
    <row r="204" spans="1:14">
      <c r="A204" s="110" t="s">
        <v>113</v>
      </c>
      <c r="B204" s="110" t="s">
        <v>112</v>
      </c>
      <c r="C204" s="110" t="s">
        <v>111</v>
      </c>
      <c r="D204" s="110" t="s">
        <v>111</v>
      </c>
      <c r="E204" s="110" t="s">
        <v>111</v>
      </c>
      <c r="F204" s="110" t="s">
        <v>110</v>
      </c>
      <c r="G204" s="110" t="s">
        <v>110</v>
      </c>
      <c r="H204" s="110" t="s">
        <v>110</v>
      </c>
      <c r="I204" s="110" t="s">
        <v>110</v>
      </c>
      <c r="J204" s="110" t="s">
        <v>109</v>
      </c>
      <c r="K204" s="110" t="s">
        <v>108</v>
      </c>
      <c r="L204" s="110" t="s">
        <v>1</v>
      </c>
      <c r="M204" s="94"/>
      <c r="N204" s="94"/>
    </row>
    <row r="205" spans="1:14">
      <c r="A205" s="105" t="s">
        <v>107</v>
      </c>
      <c r="B205" s="105" t="s">
        <v>106</v>
      </c>
      <c r="C205" s="105"/>
      <c r="D205" s="105"/>
      <c r="E205" s="105"/>
      <c r="F205" s="105" t="s">
        <v>105</v>
      </c>
      <c r="G205" s="105" t="s">
        <v>105</v>
      </c>
      <c r="H205" s="105" t="s">
        <v>105</v>
      </c>
      <c r="I205" s="105" t="s">
        <v>105</v>
      </c>
      <c r="J205" s="105" t="s">
        <v>104</v>
      </c>
      <c r="K205" s="105" t="s">
        <v>104</v>
      </c>
      <c r="L205" s="105" t="s">
        <v>104</v>
      </c>
      <c r="M205" s="94"/>
      <c r="N205" s="94"/>
    </row>
    <row r="206" spans="1:14">
      <c r="A206" s="94"/>
      <c r="B206" s="94"/>
      <c r="C206" s="94"/>
      <c r="D206" s="94"/>
      <c r="E206" s="94"/>
      <c r="F206" s="94"/>
      <c r="G206" s="94"/>
      <c r="H206" s="94"/>
      <c r="I206" s="94"/>
      <c r="J206" s="94"/>
      <c r="K206" s="94"/>
      <c r="L206" s="94"/>
      <c r="M206" s="94"/>
      <c r="N206" s="94"/>
    </row>
    <row r="207" spans="1:14">
      <c r="A207" s="94">
        <v>50</v>
      </c>
      <c r="B207" s="94">
        <v>50</v>
      </c>
      <c r="C207" s="107">
        <v>1</v>
      </c>
      <c r="D207" s="107">
        <f>'SNB-2018'!F107</f>
        <v>1</v>
      </c>
      <c r="E207" s="109">
        <v>0</v>
      </c>
      <c r="F207" s="108" t="e">
        <f>(C207*$D$142)+(D207*$D$143)</f>
        <v>#REF!</v>
      </c>
      <c r="G207" s="108" t="e">
        <f>$D$144*A207*1000</f>
        <v>#REF!</v>
      </c>
      <c r="H207" s="108" t="e">
        <f>E207*$D$141</f>
        <v>#REF!</v>
      </c>
      <c r="I207" s="107" t="e">
        <f>F207+G207+H207</f>
        <v>#REF!</v>
      </c>
      <c r="J207" s="106" t="e">
        <f>I207/A207/365/1000</f>
        <v>#REF!</v>
      </c>
      <c r="K207" s="106" t="e">
        <f>$D$45</f>
        <v>#REF!</v>
      </c>
      <c r="L207" s="106" t="e">
        <f>K207+J207</f>
        <v>#REF!</v>
      </c>
      <c r="M207" s="94"/>
      <c r="N207" s="94"/>
    </row>
    <row r="208" spans="1:14">
      <c r="A208" s="94">
        <v>100</v>
      </c>
      <c r="B208" s="94">
        <v>100</v>
      </c>
      <c r="C208" s="107">
        <v>1</v>
      </c>
      <c r="D208" s="107">
        <f>'SNB-2018'!F108</f>
        <v>1</v>
      </c>
      <c r="E208" s="109">
        <v>0</v>
      </c>
      <c r="F208" s="108" t="e">
        <f>(C208*$D$142)+(D208*$D$143)</f>
        <v>#REF!</v>
      </c>
      <c r="G208" s="108" t="e">
        <f>$D$144*A208*1000</f>
        <v>#REF!</v>
      </c>
      <c r="H208" s="108" t="e">
        <f>E208*$D$141</f>
        <v>#REF!</v>
      </c>
      <c r="I208" s="107" t="e">
        <f>F208+G208+H208</f>
        <v>#REF!</v>
      </c>
      <c r="J208" s="106" t="e">
        <f>I208/A208/365/1000</f>
        <v>#REF!</v>
      </c>
      <c r="K208" s="106" t="e">
        <f>$D$45</f>
        <v>#REF!</v>
      </c>
      <c r="L208" s="106" t="e">
        <f>K208+J208</f>
        <v>#REF!</v>
      </c>
      <c r="M208" s="94"/>
      <c r="N208" s="94"/>
    </row>
    <row r="209" spans="1:14">
      <c r="A209" s="94">
        <v>150</v>
      </c>
      <c r="B209" s="94">
        <v>150</v>
      </c>
      <c r="C209" s="107">
        <v>1</v>
      </c>
      <c r="D209" s="107">
        <f>'SNB-2018'!F110</f>
        <v>6</v>
      </c>
      <c r="E209" s="109">
        <v>0</v>
      </c>
      <c r="F209" s="108" t="e">
        <f>(C209*$D$142)+(D209*$D$143)</f>
        <v>#REF!</v>
      </c>
      <c r="G209" s="108" t="e">
        <f>$D$144*A209*1000</f>
        <v>#REF!</v>
      </c>
      <c r="H209" s="108" t="e">
        <f>E209*$D$141</f>
        <v>#REF!</v>
      </c>
      <c r="I209" s="107" t="e">
        <f>F209+G209+H209</f>
        <v>#REF!</v>
      </c>
      <c r="J209" s="106" t="e">
        <f>I209/A209/365/1000</f>
        <v>#REF!</v>
      </c>
      <c r="K209" s="106" t="e">
        <f>$D$45</f>
        <v>#REF!</v>
      </c>
      <c r="L209" s="106" t="e">
        <f>K209+J209</f>
        <v>#REF!</v>
      </c>
      <c r="M209" s="94"/>
      <c r="N209" s="94"/>
    </row>
    <row r="210" spans="1:14">
      <c r="A210" s="94">
        <v>200</v>
      </c>
      <c r="B210" s="94">
        <v>200</v>
      </c>
      <c r="C210" s="107">
        <v>1</v>
      </c>
      <c r="D210" s="107">
        <f>'SNB-2018'!F111</f>
        <v>6</v>
      </c>
      <c r="E210" s="109">
        <v>0</v>
      </c>
      <c r="F210" s="108" t="e">
        <f>(C210*$D$142)+(D210*$D$143)</f>
        <v>#REF!</v>
      </c>
      <c r="G210" s="108" t="e">
        <f>$D$144*A210*1000</f>
        <v>#REF!</v>
      </c>
      <c r="H210" s="108" t="e">
        <f>E210*$D$141</f>
        <v>#REF!</v>
      </c>
      <c r="I210" s="107" t="e">
        <f>F210+G210+H210</f>
        <v>#REF!</v>
      </c>
      <c r="J210" s="106" t="e">
        <f>I210/A210/365/1000</f>
        <v>#REF!</v>
      </c>
      <c r="K210" s="106" t="e">
        <f>$D$45</f>
        <v>#REF!</v>
      </c>
      <c r="L210" s="106" t="e">
        <f>K210+J210</f>
        <v>#REF!</v>
      </c>
      <c r="M210" s="94"/>
      <c r="N210" s="94"/>
    </row>
    <row r="211" spans="1:14">
      <c r="A211" s="94"/>
      <c r="B211" s="94"/>
      <c r="C211" s="94"/>
      <c r="D211" s="94"/>
      <c r="E211" s="94"/>
      <c r="F211" s="94"/>
      <c r="G211" s="94"/>
      <c r="H211" s="94"/>
      <c r="I211" s="94"/>
      <c r="J211" s="94"/>
      <c r="K211" s="94"/>
      <c r="L211" s="94"/>
      <c r="M211" s="105" t="s">
        <v>103</v>
      </c>
      <c r="N211" s="94"/>
    </row>
    <row r="212" spans="1:14">
      <c r="A212" s="94"/>
      <c r="B212" s="94"/>
      <c r="C212" s="94"/>
      <c r="D212" s="94"/>
      <c r="E212" s="94"/>
      <c r="F212" s="94"/>
      <c r="G212" s="94"/>
      <c r="H212" s="94"/>
      <c r="I212" s="94"/>
      <c r="J212" s="104" t="s">
        <v>102</v>
      </c>
      <c r="K212" s="94"/>
      <c r="L212" s="103" t="e">
        <f>AVERAGE(L207:L210)</f>
        <v>#REF!</v>
      </c>
      <c r="M212" s="94"/>
      <c r="N212" s="94"/>
    </row>
    <row r="213" spans="1:14">
      <c r="A213" s="94"/>
      <c r="B213" s="94"/>
      <c r="C213" s="94"/>
      <c r="D213" s="94"/>
      <c r="E213" s="94"/>
      <c r="F213" s="94"/>
      <c r="G213" s="94"/>
      <c r="H213" s="94"/>
      <c r="I213" s="94"/>
      <c r="J213" s="104"/>
      <c r="K213" s="94"/>
      <c r="L213" s="103"/>
      <c r="M213" s="102" t="s">
        <v>101</v>
      </c>
      <c r="N213" s="94"/>
    </row>
    <row r="214" spans="1:14" ht="15.6">
      <c r="A214" s="94"/>
      <c r="B214" s="94"/>
      <c r="C214" s="101"/>
      <c r="D214" s="100"/>
      <c r="E214" s="100"/>
      <c r="F214" s="100"/>
      <c r="G214" s="100"/>
      <c r="H214" s="100"/>
      <c r="I214" s="100"/>
      <c r="J214" s="99" t="s">
        <v>100</v>
      </c>
      <c r="K214" s="98"/>
      <c r="L214" s="97" t="e">
        <f>ROUND((L185+L198+L212)/3,5)</f>
        <v>#REF!</v>
      </c>
      <c r="M214" s="94"/>
      <c r="N214" s="94"/>
    </row>
    <row r="215" spans="1:14">
      <c r="A215" s="94"/>
      <c r="B215" s="94"/>
      <c r="C215" s="94"/>
      <c r="D215" s="93"/>
      <c r="E215" s="93"/>
      <c r="F215" s="93"/>
      <c r="G215" s="94"/>
      <c r="H215" s="94"/>
      <c r="I215" s="94"/>
      <c r="J215" s="94"/>
      <c r="K215" s="94"/>
      <c r="L215" s="94"/>
      <c r="M215" s="94"/>
      <c r="N215" s="94"/>
    </row>
    <row r="216" spans="1:14" ht="15.6">
      <c r="A216" s="94"/>
      <c r="B216" s="94"/>
      <c r="C216" s="94"/>
      <c r="D216" s="93"/>
      <c r="E216" s="93"/>
      <c r="F216" s="93"/>
      <c r="G216" s="94"/>
      <c r="H216" s="94"/>
      <c r="I216" s="93"/>
      <c r="J216" s="95"/>
      <c r="K216" s="96"/>
      <c r="L216" s="95" t="s">
        <v>99</v>
      </c>
      <c r="M216" s="94"/>
      <c r="N216" s="94"/>
    </row>
    <row r="217" spans="1:14" ht="14.4" thickBot="1">
      <c r="A217" s="94"/>
      <c r="B217" s="94"/>
      <c r="C217" s="94"/>
      <c r="D217" s="93"/>
      <c r="E217" s="93"/>
      <c r="F217" s="93"/>
      <c r="G217" s="94"/>
      <c r="H217" s="94"/>
      <c r="I217" s="94"/>
      <c r="J217" s="94"/>
      <c r="K217" s="94"/>
      <c r="L217" s="94"/>
      <c r="M217" s="94"/>
      <c r="N217" s="94"/>
    </row>
    <row r="218" spans="1:14" ht="16.2" thickBot="1">
      <c r="A218" s="94"/>
      <c r="B218" s="94"/>
      <c r="C218" s="94"/>
      <c r="D218" s="93"/>
      <c r="E218" s="93"/>
      <c r="F218" s="93"/>
      <c r="G218" s="92"/>
      <c r="H218" s="91"/>
      <c r="I218" s="91"/>
      <c r="J218" s="90" t="s">
        <v>98</v>
      </c>
      <c r="K218" s="89"/>
      <c r="L218" s="88" t="e">
        <f>ROUND((L214*365/12),5)</f>
        <v>#REF!</v>
      </c>
    </row>
    <row r="219" spans="1:14">
      <c r="K219" s="49"/>
    </row>
    <row r="220" spans="1:14">
      <c r="K220" s="49"/>
    </row>
    <row r="221" spans="1:14" s="87" customFormat="1"/>
  </sheetData>
  <mergeCells count="5">
    <mergeCell ref="D54:G54"/>
    <mergeCell ref="B57:B62"/>
    <mergeCell ref="B63:B67"/>
    <mergeCell ref="B68:B71"/>
    <mergeCell ref="B72:B74"/>
  </mergeCells>
  <pageMargins left="0.75" right="0.75" top="1" bottom="1" header="0.5" footer="0.5"/>
  <pageSetup paperSize="5" scale="47" fitToHeight="4" orientation="landscape" r:id="rId1"/>
  <headerFooter alignWithMargins="0"/>
  <rowBreaks count="3" manualBreakCount="3">
    <brk id="47" max="12" man="1"/>
    <brk id="112" max="12" man="1"/>
    <brk id="14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221"/>
  <sheetViews>
    <sheetView view="pageBreakPreview" zoomScale="75" zoomScaleNormal="75" zoomScaleSheetLayoutView="75" workbookViewId="0">
      <selection activeCell="D18" sqref="D18"/>
    </sheetView>
  </sheetViews>
  <sheetFormatPr defaultRowHeight="13.8"/>
  <cols>
    <col min="1" max="1" width="10.5546875" style="13" bestFit="1" customWidth="1"/>
    <col min="2" max="2" width="44.109375" style="13" customWidth="1"/>
    <col min="3" max="3" width="14.6640625" style="13" customWidth="1"/>
    <col min="4" max="4" width="23.6640625" style="13" bestFit="1" customWidth="1"/>
    <col min="5" max="5" width="11.88671875" style="13" customWidth="1"/>
    <col min="6" max="6" width="20.6640625" style="13" customWidth="1"/>
    <col min="7" max="7" width="15.6640625" style="13" customWidth="1"/>
    <col min="8" max="9" width="16.109375" style="13" bestFit="1" customWidth="1"/>
    <col min="10" max="10" width="13.6640625" style="13" customWidth="1"/>
    <col min="11" max="11" width="12.6640625" style="13" bestFit="1" customWidth="1"/>
    <col min="12" max="12" width="15.5546875" style="13" customWidth="1"/>
    <col min="13" max="13" width="16.109375" style="13" bestFit="1" customWidth="1"/>
    <col min="14" max="14" width="13.33203125" style="13" bestFit="1" customWidth="1"/>
    <col min="15" max="15" width="16.33203125" style="13" bestFit="1" customWidth="1"/>
    <col min="16" max="16" width="9.33203125" style="13" bestFit="1" customWidth="1"/>
    <col min="17" max="17" width="13" style="13" bestFit="1" customWidth="1"/>
    <col min="18" max="18" width="20.109375" style="13" bestFit="1" customWidth="1"/>
    <col min="19" max="19" width="50.33203125" style="13" bestFit="1" customWidth="1"/>
    <col min="20" max="20" width="16.109375" style="13" bestFit="1" customWidth="1"/>
    <col min="21" max="21" width="12.33203125" style="13" customWidth="1"/>
    <col min="22" max="22" width="18.88671875" style="13" bestFit="1" customWidth="1"/>
    <col min="23" max="23" width="16.6640625" style="13" customWidth="1"/>
    <col min="24" max="24" width="19" style="13" bestFit="1" customWidth="1"/>
    <col min="25" max="25" width="9.109375" style="13"/>
    <col min="26" max="26" width="18.88671875" style="13" bestFit="1" customWidth="1"/>
    <col min="27" max="256" width="9.109375" style="13"/>
    <col min="257" max="257" width="10.5546875" style="13" bestFit="1" customWidth="1"/>
    <col min="258" max="258" width="44.109375" style="13" customWidth="1"/>
    <col min="259" max="259" width="14.6640625" style="13" customWidth="1"/>
    <col min="260" max="260" width="23.6640625" style="13" bestFit="1" customWidth="1"/>
    <col min="261" max="261" width="11.88671875" style="13" customWidth="1"/>
    <col min="262" max="262" width="20.6640625" style="13" customWidth="1"/>
    <col min="263" max="263" width="15.6640625" style="13" customWidth="1"/>
    <col min="264" max="265" width="16.109375" style="13" bestFit="1" customWidth="1"/>
    <col min="266" max="266" width="13.6640625" style="13" customWidth="1"/>
    <col min="267" max="267" width="12.6640625" style="13" bestFit="1" customWidth="1"/>
    <col min="268" max="268" width="15.5546875" style="13" customWidth="1"/>
    <col min="269" max="269" width="16.109375" style="13" bestFit="1" customWidth="1"/>
    <col min="270" max="270" width="13.33203125" style="13" bestFit="1" customWidth="1"/>
    <col min="271" max="271" width="16.33203125" style="13" bestFit="1" customWidth="1"/>
    <col min="272" max="272" width="9.33203125" style="13" bestFit="1" customWidth="1"/>
    <col min="273" max="273" width="13" style="13" bestFit="1" customWidth="1"/>
    <col min="274" max="274" width="20.109375" style="13" bestFit="1" customWidth="1"/>
    <col min="275" max="275" width="50.33203125" style="13" bestFit="1" customWidth="1"/>
    <col min="276" max="276" width="16.109375" style="13" bestFit="1" customWidth="1"/>
    <col min="277" max="277" width="12.33203125" style="13" customWidth="1"/>
    <col min="278" max="278" width="18.88671875" style="13" bestFit="1" customWidth="1"/>
    <col min="279" max="279" width="16.6640625" style="13" customWidth="1"/>
    <col min="280" max="280" width="19" style="13" bestFit="1" customWidth="1"/>
    <col min="281" max="281" width="9.109375" style="13"/>
    <col min="282" max="282" width="18.88671875" style="13" bestFit="1" customWidth="1"/>
    <col min="283" max="512" width="9.109375" style="13"/>
    <col min="513" max="513" width="10.5546875" style="13" bestFit="1" customWidth="1"/>
    <col min="514" max="514" width="44.109375" style="13" customWidth="1"/>
    <col min="515" max="515" width="14.6640625" style="13" customWidth="1"/>
    <col min="516" max="516" width="23.6640625" style="13" bestFit="1" customWidth="1"/>
    <col min="517" max="517" width="11.88671875" style="13" customWidth="1"/>
    <col min="518" max="518" width="20.6640625" style="13" customWidth="1"/>
    <col min="519" max="519" width="15.6640625" style="13" customWidth="1"/>
    <col min="520" max="521" width="16.109375" style="13" bestFit="1" customWidth="1"/>
    <col min="522" max="522" width="13.6640625" style="13" customWidth="1"/>
    <col min="523" max="523" width="12.6640625" style="13" bestFit="1" customWidth="1"/>
    <col min="524" max="524" width="15.5546875" style="13" customWidth="1"/>
    <col min="525" max="525" width="16.109375" style="13" bestFit="1" customWidth="1"/>
    <col min="526" max="526" width="13.33203125" style="13" bestFit="1" customWidth="1"/>
    <col min="527" max="527" width="16.33203125" style="13" bestFit="1" customWidth="1"/>
    <col min="528" max="528" width="9.33203125" style="13" bestFit="1" customWidth="1"/>
    <col min="529" max="529" width="13" style="13" bestFit="1" customWidth="1"/>
    <col min="530" max="530" width="20.109375" style="13" bestFit="1" customWidth="1"/>
    <col min="531" max="531" width="50.33203125" style="13" bestFit="1" customWidth="1"/>
    <col min="532" max="532" width="16.109375" style="13" bestFit="1" customWidth="1"/>
    <col min="533" max="533" width="12.33203125" style="13" customWidth="1"/>
    <col min="534" max="534" width="18.88671875" style="13" bestFit="1" customWidth="1"/>
    <col min="535" max="535" width="16.6640625" style="13" customWidth="1"/>
    <col min="536" max="536" width="19" style="13" bestFit="1" customWidth="1"/>
    <col min="537" max="537" width="9.109375" style="13"/>
    <col min="538" max="538" width="18.88671875" style="13" bestFit="1" customWidth="1"/>
    <col min="539" max="768" width="9.109375" style="13"/>
    <col min="769" max="769" width="10.5546875" style="13" bestFit="1" customWidth="1"/>
    <col min="770" max="770" width="44.109375" style="13" customWidth="1"/>
    <col min="771" max="771" width="14.6640625" style="13" customWidth="1"/>
    <col min="772" max="772" width="23.6640625" style="13" bestFit="1" customWidth="1"/>
    <col min="773" max="773" width="11.88671875" style="13" customWidth="1"/>
    <col min="774" max="774" width="20.6640625" style="13" customWidth="1"/>
    <col min="775" max="775" width="15.6640625" style="13" customWidth="1"/>
    <col min="776" max="777" width="16.109375" style="13" bestFit="1" customWidth="1"/>
    <col min="778" max="778" width="13.6640625" style="13" customWidth="1"/>
    <col min="779" max="779" width="12.6640625" style="13" bestFit="1" customWidth="1"/>
    <col min="780" max="780" width="15.5546875" style="13" customWidth="1"/>
    <col min="781" max="781" width="16.109375" style="13" bestFit="1" customWidth="1"/>
    <col min="782" max="782" width="13.33203125" style="13" bestFit="1" customWidth="1"/>
    <col min="783" max="783" width="16.33203125" style="13" bestFit="1" customWidth="1"/>
    <col min="784" max="784" width="9.33203125" style="13" bestFit="1" customWidth="1"/>
    <col min="785" max="785" width="13" style="13" bestFit="1" customWidth="1"/>
    <col min="786" max="786" width="20.109375" style="13" bestFit="1" customWidth="1"/>
    <col min="787" max="787" width="50.33203125" style="13" bestFit="1" customWidth="1"/>
    <col min="788" max="788" width="16.109375" style="13" bestFit="1" customWidth="1"/>
    <col min="789" max="789" width="12.33203125" style="13" customWidth="1"/>
    <col min="790" max="790" width="18.88671875" style="13" bestFit="1" customWidth="1"/>
    <col min="791" max="791" width="16.6640625" style="13" customWidth="1"/>
    <col min="792" max="792" width="19" style="13" bestFit="1" customWidth="1"/>
    <col min="793" max="793" width="9.109375" style="13"/>
    <col min="794" max="794" width="18.88671875" style="13" bestFit="1" customWidth="1"/>
    <col min="795" max="1024" width="9.109375" style="13"/>
    <col min="1025" max="1025" width="10.5546875" style="13" bestFit="1" customWidth="1"/>
    <col min="1026" max="1026" width="44.109375" style="13" customWidth="1"/>
    <col min="1027" max="1027" width="14.6640625" style="13" customWidth="1"/>
    <col min="1028" max="1028" width="23.6640625" style="13" bestFit="1" customWidth="1"/>
    <col min="1029" max="1029" width="11.88671875" style="13" customWidth="1"/>
    <col min="1030" max="1030" width="20.6640625" style="13" customWidth="1"/>
    <col min="1031" max="1031" width="15.6640625" style="13" customWidth="1"/>
    <col min="1032" max="1033" width="16.109375" style="13" bestFit="1" customWidth="1"/>
    <col min="1034" max="1034" width="13.6640625" style="13" customWidth="1"/>
    <col min="1035" max="1035" width="12.6640625" style="13" bestFit="1" customWidth="1"/>
    <col min="1036" max="1036" width="15.5546875" style="13" customWidth="1"/>
    <col min="1037" max="1037" width="16.109375" style="13" bestFit="1" customWidth="1"/>
    <col min="1038" max="1038" width="13.33203125" style="13" bestFit="1" customWidth="1"/>
    <col min="1039" max="1039" width="16.33203125" style="13" bestFit="1" customWidth="1"/>
    <col min="1040" max="1040" width="9.33203125" style="13" bestFit="1" customWidth="1"/>
    <col min="1041" max="1041" width="13" style="13" bestFit="1" customWidth="1"/>
    <col min="1042" max="1042" width="20.109375" style="13" bestFit="1" customWidth="1"/>
    <col min="1043" max="1043" width="50.33203125" style="13" bestFit="1" customWidth="1"/>
    <col min="1044" max="1044" width="16.109375" style="13" bestFit="1" customWidth="1"/>
    <col min="1045" max="1045" width="12.33203125" style="13" customWidth="1"/>
    <col min="1046" max="1046" width="18.88671875" style="13" bestFit="1" customWidth="1"/>
    <col min="1047" max="1047" width="16.6640625" style="13" customWidth="1"/>
    <col min="1048" max="1048" width="19" style="13" bestFit="1" customWidth="1"/>
    <col min="1049" max="1049" width="9.109375" style="13"/>
    <col min="1050" max="1050" width="18.88671875" style="13" bestFit="1" customWidth="1"/>
    <col min="1051" max="1280" width="9.109375" style="13"/>
    <col min="1281" max="1281" width="10.5546875" style="13" bestFit="1" customWidth="1"/>
    <col min="1282" max="1282" width="44.109375" style="13" customWidth="1"/>
    <col min="1283" max="1283" width="14.6640625" style="13" customWidth="1"/>
    <col min="1284" max="1284" width="23.6640625" style="13" bestFit="1" customWidth="1"/>
    <col min="1285" max="1285" width="11.88671875" style="13" customWidth="1"/>
    <col min="1286" max="1286" width="20.6640625" style="13" customWidth="1"/>
    <col min="1287" max="1287" width="15.6640625" style="13" customWidth="1"/>
    <col min="1288" max="1289" width="16.109375" style="13" bestFit="1" customWidth="1"/>
    <col min="1290" max="1290" width="13.6640625" style="13" customWidth="1"/>
    <col min="1291" max="1291" width="12.6640625" style="13" bestFit="1" customWidth="1"/>
    <col min="1292" max="1292" width="15.5546875" style="13" customWidth="1"/>
    <col min="1293" max="1293" width="16.109375" style="13" bestFit="1" customWidth="1"/>
    <col min="1294" max="1294" width="13.33203125" style="13" bestFit="1" customWidth="1"/>
    <col min="1295" max="1295" width="16.33203125" style="13" bestFit="1" customWidth="1"/>
    <col min="1296" max="1296" width="9.33203125" style="13" bestFit="1" customWidth="1"/>
    <col min="1297" max="1297" width="13" style="13" bestFit="1" customWidth="1"/>
    <col min="1298" max="1298" width="20.109375" style="13" bestFit="1" customWidth="1"/>
    <col min="1299" max="1299" width="50.33203125" style="13" bestFit="1" customWidth="1"/>
    <col min="1300" max="1300" width="16.109375" style="13" bestFit="1" customWidth="1"/>
    <col min="1301" max="1301" width="12.33203125" style="13" customWidth="1"/>
    <col min="1302" max="1302" width="18.88671875" style="13" bestFit="1" customWidth="1"/>
    <col min="1303" max="1303" width="16.6640625" style="13" customWidth="1"/>
    <col min="1304" max="1304" width="19" style="13" bestFit="1" customWidth="1"/>
    <col min="1305" max="1305" width="9.109375" style="13"/>
    <col min="1306" max="1306" width="18.88671875" style="13" bestFit="1" customWidth="1"/>
    <col min="1307" max="1536" width="9.109375" style="13"/>
    <col min="1537" max="1537" width="10.5546875" style="13" bestFit="1" customWidth="1"/>
    <col min="1538" max="1538" width="44.109375" style="13" customWidth="1"/>
    <col min="1539" max="1539" width="14.6640625" style="13" customWidth="1"/>
    <col min="1540" max="1540" width="23.6640625" style="13" bestFit="1" customWidth="1"/>
    <col min="1541" max="1541" width="11.88671875" style="13" customWidth="1"/>
    <col min="1542" max="1542" width="20.6640625" style="13" customWidth="1"/>
    <col min="1543" max="1543" width="15.6640625" style="13" customWidth="1"/>
    <col min="1544" max="1545" width="16.109375" style="13" bestFit="1" customWidth="1"/>
    <col min="1546" max="1546" width="13.6640625" style="13" customWidth="1"/>
    <col min="1547" max="1547" width="12.6640625" style="13" bestFit="1" customWidth="1"/>
    <col min="1548" max="1548" width="15.5546875" style="13" customWidth="1"/>
    <col min="1549" max="1549" width="16.109375" style="13" bestFit="1" customWidth="1"/>
    <col min="1550" max="1550" width="13.33203125" style="13" bestFit="1" customWidth="1"/>
    <col min="1551" max="1551" width="16.33203125" style="13" bestFit="1" customWidth="1"/>
    <col min="1552" max="1552" width="9.33203125" style="13" bestFit="1" customWidth="1"/>
    <col min="1553" max="1553" width="13" style="13" bestFit="1" customWidth="1"/>
    <col min="1554" max="1554" width="20.109375" style="13" bestFit="1" customWidth="1"/>
    <col min="1555" max="1555" width="50.33203125" style="13" bestFit="1" customWidth="1"/>
    <col min="1556" max="1556" width="16.109375" style="13" bestFit="1" customWidth="1"/>
    <col min="1557" max="1557" width="12.33203125" style="13" customWidth="1"/>
    <col min="1558" max="1558" width="18.88671875" style="13" bestFit="1" customWidth="1"/>
    <col min="1559" max="1559" width="16.6640625" style="13" customWidth="1"/>
    <col min="1560" max="1560" width="19" style="13" bestFit="1" customWidth="1"/>
    <col min="1561" max="1561" width="9.109375" style="13"/>
    <col min="1562" max="1562" width="18.88671875" style="13" bestFit="1" customWidth="1"/>
    <col min="1563" max="1792" width="9.109375" style="13"/>
    <col min="1793" max="1793" width="10.5546875" style="13" bestFit="1" customWidth="1"/>
    <col min="1794" max="1794" width="44.109375" style="13" customWidth="1"/>
    <col min="1795" max="1795" width="14.6640625" style="13" customWidth="1"/>
    <col min="1796" max="1796" width="23.6640625" style="13" bestFit="1" customWidth="1"/>
    <col min="1797" max="1797" width="11.88671875" style="13" customWidth="1"/>
    <col min="1798" max="1798" width="20.6640625" style="13" customWidth="1"/>
    <col min="1799" max="1799" width="15.6640625" style="13" customWidth="1"/>
    <col min="1800" max="1801" width="16.109375" style="13" bestFit="1" customWidth="1"/>
    <col min="1802" max="1802" width="13.6640625" style="13" customWidth="1"/>
    <col min="1803" max="1803" width="12.6640625" style="13" bestFit="1" customWidth="1"/>
    <col min="1804" max="1804" width="15.5546875" style="13" customWidth="1"/>
    <col min="1805" max="1805" width="16.109375" style="13" bestFit="1" customWidth="1"/>
    <col min="1806" max="1806" width="13.33203125" style="13" bestFit="1" customWidth="1"/>
    <col min="1807" max="1807" width="16.33203125" style="13" bestFit="1" customWidth="1"/>
    <col min="1808" max="1808" width="9.33203125" style="13" bestFit="1" customWidth="1"/>
    <col min="1809" max="1809" width="13" style="13" bestFit="1" customWidth="1"/>
    <col min="1810" max="1810" width="20.109375" style="13" bestFit="1" customWidth="1"/>
    <col min="1811" max="1811" width="50.33203125" style="13" bestFit="1" customWidth="1"/>
    <col min="1812" max="1812" width="16.109375" style="13" bestFit="1" customWidth="1"/>
    <col min="1813" max="1813" width="12.33203125" style="13" customWidth="1"/>
    <col min="1814" max="1814" width="18.88671875" style="13" bestFit="1" customWidth="1"/>
    <col min="1815" max="1815" width="16.6640625" style="13" customWidth="1"/>
    <col min="1816" max="1816" width="19" style="13" bestFit="1" customWidth="1"/>
    <col min="1817" max="1817" width="9.109375" style="13"/>
    <col min="1818" max="1818" width="18.88671875" style="13" bestFit="1" customWidth="1"/>
    <col min="1819" max="2048" width="9.109375" style="13"/>
    <col min="2049" max="2049" width="10.5546875" style="13" bestFit="1" customWidth="1"/>
    <col min="2050" max="2050" width="44.109375" style="13" customWidth="1"/>
    <col min="2051" max="2051" width="14.6640625" style="13" customWidth="1"/>
    <col min="2052" max="2052" width="23.6640625" style="13" bestFit="1" customWidth="1"/>
    <col min="2053" max="2053" width="11.88671875" style="13" customWidth="1"/>
    <col min="2054" max="2054" width="20.6640625" style="13" customWidth="1"/>
    <col min="2055" max="2055" width="15.6640625" style="13" customWidth="1"/>
    <col min="2056" max="2057" width="16.109375" style="13" bestFit="1" customWidth="1"/>
    <col min="2058" max="2058" width="13.6640625" style="13" customWidth="1"/>
    <col min="2059" max="2059" width="12.6640625" style="13" bestFit="1" customWidth="1"/>
    <col min="2060" max="2060" width="15.5546875" style="13" customWidth="1"/>
    <col min="2061" max="2061" width="16.109375" style="13" bestFit="1" customWidth="1"/>
    <col min="2062" max="2062" width="13.33203125" style="13" bestFit="1" customWidth="1"/>
    <col min="2063" max="2063" width="16.33203125" style="13" bestFit="1" customWidth="1"/>
    <col min="2064" max="2064" width="9.33203125" style="13" bestFit="1" customWidth="1"/>
    <col min="2065" max="2065" width="13" style="13" bestFit="1" customWidth="1"/>
    <col min="2066" max="2066" width="20.109375" style="13" bestFit="1" customWidth="1"/>
    <col min="2067" max="2067" width="50.33203125" style="13" bestFit="1" customWidth="1"/>
    <col min="2068" max="2068" width="16.109375" style="13" bestFit="1" customWidth="1"/>
    <col min="2069" max="2069" width="12.33203125" style="13" customWidth="1"/>
    <col min="2070" max="2070" width="18.88671875" style="13" bestFit="1" customWidth="1"/>
    <col min="2071" max="2071" width="16.6640625" style="13" customWidth="1"/>
    <col min="2072" max="2072" width="19" style="13" bestFit="1" customWidth="1"/>
    <col min="2073" max="2073" width="9.109375" style="13"/>
    <col min="2074" max="2074" width="18.88671875" style="13" bestFit="1" customWidth="1"/>
    <col min="2075" max="2304" width="9.109375" style="13"/>
    <col min="2305" max="2305" width="10.5546875" style="13" bestFit="1" customWidth="1"/>
    <col min="2306" max="2306" width="44.109375" style="13" customWidth="1"/>
    <col min="2307" max="2307" width="14.6640625" style="13" customWidth="1"/>
    <col min="2308" max="2308" width="23.6640625" style="13" bestFit="1" customWidth="1"/>
    <col min="2309" max="2309" width="11.88671875" style="13" customWidth="1"/>
    <col min="2310" max="2310" width="20.6640625" style="13" customWidth="1"/>
    <col min="2311" max="2311" width="15.6640625" style="13" customWidth="1"/>
    <col min="2312" max="2313" width="16.109375" style="13" bestFit="1" customWidth="1"/>
    <col min="2314" max="2314" width="13.6640625" style="13" customWidth="1"/>
    <col min="2315" max="2315" width="12.6640625" style="13" bestFit="1" customWidth="1"/>
    <col min="2316" max="2316" width="15.5546875" style="13" customWidth="1"/>
    <col min="2317" max="2317" width="16.109375" style="13" bestFit="1" customWidth="1"/>
    <col min="2318" max="2318" width="13.33203125" style="13" bestFit="1" customWidth="1"/>
    <col min="2319" max="2319" width="16.33203125" style="13" bestFit="1" customWidth="1"/>
    <col min="2320" max="2320" width="9.33203125" style="13" bestFit="1" customWidth="1"/>
    <col min="2321" max="2321" width="13" style="13" bestFit="1" customWidth="1"/>
    <col min="2322" max="2322" width="20.109375" style="13" bestFit="1" customWidth="1"/>
    <col min="2323" max="2323" width="50.33203125" style="13" bestFit="1" customWidth="1"/>
    <col min="2324" max="2324" width="16.109375" style="13" bestFit="1" customWidth="1"/>
    <col min="2325" max="2325" width="12.33203125" style="13" customWidth="1"/>
    <col min="2326" max="2326" width="18.88671875" style="13" bestFit="1" customWidth="1"/>
    <col min="2327" max="2327" width="16.6640625" style="13" customWidth="1"/>
    <col min="2328" max="2328" width="19" style="13" bestFit="1" customWidth="1"/>
    <col min="2329" max="2329" width="9.109375" style="13"/>
    <col min="2330" max="2330" width="18.88671875" style="13" bestFit="1" customWidth="1"/>
    <col min="2331" max="2560" width="9.109375" style="13"/>
    <col min="2561" max="2561" width="10.5546875" style="13" bestFit="1" customWidth="1"/>
    <col min="2562" max="2562" width="44.109375" style="13" customWidth="1"/>
    <col min="2563" max="2563" width="14.6640625" style="13" customWidth="1"/>
    <col min="2564" max="2564" width="23.6640625" style="13" bestFit="1" customWidth="1"/>
    <col min="2565" max="2565" width="11.88671875" style="13" customWidth="1"/>
    <col min="2566" max="2566" width="20.6640625" style="13" customWidth="1"/>
    <col min="2567" max="2567" width="15.6640625" style="13" customWidth="1"/>
    <col min="2568" max="2569" width="16.109375" style="13" bestFit="1" customWidth="1"/>
    <col min="2570" max="2570" width="13.6640625" style="13" customWidth="1"/>
    <col min="2571" max="2571" width="12.6640625" style="13" bestFit="1" customWidth="1"/>
    <col min="2572" max="2572" width="15.5546875" style="13" customWidth="1"/>
    <col min="2573" max="2573" width="16.109375" style="13" bestFit="1" customWidth="1"/>
    <col min="2574" max="2574" width="13.33203125" style="13" bestFit="1" customWidth="1"/>
    <col min="2575" max="2575" width="16.33203125" style="13" bestFit="1" customWidth="1"/>
    <col min="2576" max="2576" width="9.33203125" style="13" bestFit="1" customWidth="1"/>
    <col min="2577" max="2577" width="13" style="13" bestFit="1" customWidth="1"/>
    <col min="2578" max="2578" width="20.109375" style="13" bestFit="1" customWidth="1"/>
    <col min="2579" max="2579" width="50.33203125" style="13" bestFit="1" customWidth="1"/>
    <col min="2580" max="2580" width="16.109375" style="13" bestFit="1" customWidth="1"/>
    <col min="2581" max="2581" width="12.33203125" style="13" customWidth="1"/>
    <col min="2582" max="2582" width="18.88671875" style="13" bestFit="1" customWidth="1"/>
    <col min="2583" max="2583" width="16.6640625" style="13" customWidth="1"/>
    <col min="2584" max="2584" width="19" style="13" bestFit="1" customWidth="1"/>
    <col min="2585" max="2585" width="9.109375" style="13"/>
    <col min="2586" max="2586" width="18.88671875" style="13" bestFit="1" customWidth="1"/>
    <col min="2587" max="2816" width="9.109375" style="13"/>
    <col min="2817" max="2817" width="10.5546875" style="13" bestFit="1" customWidth="1"/>
    <col min="2818" max="2818" width="44.109375" style="13" customWidth="1"/>
    <col min="2819" max="2819" width="14.6640625" style="13" customWidth="1"/>
    <col min="2820" max="2820" width="23.6640625" style="13" bestFit="1" customWidth="1"/>
    <col min="2821" max="2821" width="11.88671875" style="13" customWidth="1"/>
    <col min="2822" max="2822" width="20.6640625" style="13" customWidth="1"/>
    <col min="2823" max="2823" width="15.6640625" style="13" customWidth="1"/>
    <col min="2824" max="2825" width="16.109375" style="13" bestFit="1" customWidth="1"/>
    <col min="2826" max="2826" width="13.6640625" style="13" customWidth="1"/>
    <col min="2827" max="2827" width="12.6640625" style="13" bestFit="1" customWidth="1"/>
    <col min="2828" max="2828" width="15.5546875" style="13" customWidth="1"/>
    <col min="2829" max="2829" width="16.109375" style="13" bestFit="1" customWidth="1"/>
    <col min="2830" max="2830" width="13.33203125" style="13" bestFit="1" customWidth="1"/>
    <col min="2831" max="2831" width="16.33203125" style="13" bestFit="1" customWidth="1"/>
    <col min="2832" max="2832" width="9.33203125" style="13" bestFit="1" customWidth="1"/>
    <col min="2833" max="2833" width="13" style="13" bestFit="1" customWidth="1"/>
    <col min="2834" max="2834" width="20.109375" style="13" bestFit="1" customWidth="1"/>
    <col min="2835" max="2835" width="50.33203125" style="13" bestFit="1" customWidth="1"/>
    <col min="2836" max="2836" width="16.109375" style="13" bestFit="1" customWidth="1"/>
    <col min="2837" max="2837" width="12.33203125" style="13" customWidth="1"/>
    <col min="2838" max="2838" width="18.88671875" style="13" bestFit="1" customWidth="1"/>
    <col min="2839" max="2839" width="16.6640625" style="13" customWidth="1"/>
    <col min="2840" max="2840" width="19" style="13" bestFit="1" customWidth="1"/>
    <col min="2841" max="2841" width="9.109375" style="13"/>
    <col min="2842" max="2842" width="18.88671875" style="13" bestFit="1" customWidth="1"/>
    <col min="2843" max="3072" width="9.109375" style="13"/>
    <col min="3073" max="3073" width="10.5546875" style="13" bestFit="1" customWidth="1"/>
    <col min="3074" max="3074" width="44.109375" style="13" customWidth="1"/>
    <col min="3075" max="3075" width="14.6640625" style="13" customWidth="1"/>
    <col min="3076" max="3076" width="23.6640625" style="13" bestFit="1" customWidth="1"/>
    <col min="3077" max="3077" width="11.88671875" style="13" customWidth="1"/>
    <col min="3078" max="3078" width="20.6640625" style="13" customWidth="1"/>
    <col min="3079" max="3079" width="15.6640625" style="13" customWidth="1"/>
    <col min="3080" max="3081" width="16.109375" style="13" bestFit="1" customWidth="1"/>
    <col min="3082" max="3082" width="13.6640625" style="13" customWidth="1"/>
    <col min="3083" max="3083" width="12.6640625" style="13" bestFit="1" customWidth="1"/>
    <col min="3084" max="3084" width="15.5546875" style="13" customWidth="1"/>
    <col min="3085" max="3085" width="16.109375" style="13" bestFit="1" customWidth="1"/>
    <col min="3086" max="3086" width="13.33203125" style="13" bestFit="1" customWidth="1"/>
    <col min="3087" max="3087" width="16.33203125" style="13" bestFit="1" customWidth="1"/>
    <col min="3088" max="3088" width="9.33203125" style="13" bestFit="1" customWidth="1"/>
    <col min="3089" max="3089" width="13" style="13" bestFit="1" customWidth="1"/>
    <col min="3090" max="3090" width="20.109375" style="13" bestFit="1" customWidth="1"/>
    <col min="3091" max="3091" width="50.33203125" style="13" bestFit="1" customWidth="1"/>
    <col min="3092" max="3092" width="16.109375" style="13" bestFit="1" customWidth="1"/>
    <col min="3093" max="3093" width="12.33203125" style="13" customWidth="1"/>
    <col min="3094" max="3094" width="18.88671875" style="13" bestFit="1" customWidth="1"/>
    <col min="3095" max="3095" width="16.6640625" style="13" customWidth="1"/>
    <col min="3096" max="3096" width="19" style="13" bestFit="1" customWidth="1"/>
    <col min="3097" max="3097" width="9.109375" style="13"/>
    <col min="3098" max="3098" width="18.88671875" style="13" bestFit="1" customWidth="1"/>
    <col min="3099" max="3328" width="9.109375" style="13"/>
    <col min="3329" max="3329" width="10.5546875" style="13" bestFit="1" customWidth="1"/>
    <col min="3330" max="3330" width="44.109375" style="13" customWidth="1"/>
    <col min="3331" max="3331" width="14.6640625" style="13" customWidth="1"/>
    <col min="3332" max="3332" width="23.6640625" style="13" bestFit="1" customWidth="1"/>
    <col min="3333" max="3333" width="11.88671875" style="13" customWidth="1"/>
    <col min="3334" max="3334" width="20.6640625" style="13" customWidth="1"/>
    <col min="3335" max="3335" width="15.6640625" style="13" customWidth="1"/>
    <col min="3336" max="3337" width="16.109375" style="13" bestFit="1" customWidth="1"/>
    <col min="3338" max="3338" width="13.6640625" style="13" customWidth="1"/>
    <col min="3339" max="3339" width="12.6640625" style="13" bestFit="1" customWidth="1"/>
    <col min="3340" max="3340" width="15.5546875" style="13" customWidth="1"/>
    <col min="3341" max="3341" width="16.109375" style="13" bestFit="1" customWidth="1"/>
    <col min="3342" max="3342" width="13.33203125" style="13" bestFit="1" customWidth="1"/>
    <col min="3343" max="3343" width="16.33203125" style="13" bestFit="1" customWidth="1"/>
    <col min="3344" max="3344" width="9.33203125" style="13" bestFit="1" customWidth="1"/>
    <col min="3345" max="3345" width="13" style="13" bestFit="1" customWidth="1"/>
    <col min="3346" max="3346" width="20.109375" style="13" bestFit="1" customWidth="1"/>
    <col min="3347" max="3347" width="50.33203125" style="13" bestFit="1" customWidth="1"/>
    <col min="3348" max="3348" width="16.109375" style="13" bestFit="1" customWidth="1"/>
    <col min="3349" max="3349" width="12.33203125" style="13" customWidth="1"/>
    <col min="3350" max="3350" width="18.88671875" style="13" bestFit="1" customWidth="1"/>
    <col min="3351" max="3351" width="16.6640625" style="13" customWidth="1"/>
    <col min="3352" max="3352" width="19" style="13" bestFit="1" customWidth="1"/>
    <col min="3353" max="3353" width="9.109375" style="13"/>
    <col min="3354" max="3354" width="18.88671875" style="13" bestFit="1" customWidth="1"/>
    <col min="3355" max="3584" width="9.109375" style="13"/>
    <col min="3585" max="3585" width="10.5546875" style="13" bestFit="1" customWidth="1"/>
    <col min="3586" max="3586" width="44.109375" style="13" customWidth="1"/>
    <col min="3587" max="3587" width="14.6640625" style="13" customWidth="1"/>
    <col min="3588" max="3588" width="23.6640625" style="13" bestFit="1" customWidth="1"/>
    <col min="3589" max="3589" width="11.88671875" style="13" customWidth="1"/>
    <col min="3590" max="3590" width="20.6640625" style="13" customWidth="1"/>
    <col min="3591" max="3591" width="15.6640625" style="13" customWidth="1"/>
    <col min="3592" max="3593" width="16.109375" style="13" bestFit="1" customWidth="1"/>
    <col min="3594" max="3594" width="13.6640625" style="13" customWidth="1"/>
    <col min="3595" max="3595" width="12.6640625" style="13" bestFit="1" customWidth="1"/>
    <col min="3596" max="3596" width="15.5546875" style="13" customWidth="1"/>
    <col min="3597" max="3597" width="16.109375" style="13" bestFit="1" customWidth="1"/>
    <col min="3598" max="3598" width="13.33203125" style="13" bestFit="1" customWidth="1"/>
    <col min="3599" max="3599" width="16.33203125" style="13" bestFit="1" customWidth="1"/>
    <col min="3600" max="3600" width="9.33203125" style="13" bestFit="1" customWidth="1"/>
    <col min="3601" max="3601" width="13" style="13" bestFit="1" customWidth="1"/>
    <col min="3602" max="3602" width="20.109375" style="13" bestFit="1" customWidth="1"/>
    <col min="3603" max="3603" width="50.33203125" style="13" bestFit="1" customWidth="1"/>
    <col min="3604" max="3604" width="16.109375" style="13" bestFit="1" customWidth="1"/>
    <col min="3605" max="3605" width="12.33203125" style="13" customWidth="1"/>
    <col min="3606" max="3606" width="18.88671875" style="13" bestFit="1" customWidth="1"/>
    <col min="3607" max="3607" width="16.6640625" style="13" customWidth="1"/>
    <col min="3608" max="3608" width="19" style="13" bestFit="1" customWidth="1"/>
    <col min="3609" max="3609" width="9.109375" style="13"/>
    <col min="3610" max="3610" width="18.88671875" style="13" bestFit="1" customWidth="1"/>
    <col min="3611" max="3840" width="9.109375" style="13"/>
    <col min="3841" max="3841" width="10.5546875" style="13" bestFit="1" customWidth="1"/>
    <col min="3842" max="3842" width="44.109375" style="13" customWidth="1"/>
    <col min="3843" max="3843" width="14.6640625" style="13" customWidth="1"/>
    <col min="3844" max="3844" width="23.6640625" style="13" bestFit="1" customWidth="1"/>
    <col min="3845" max="3845" width="11.88671875" style="13" customWidth="1"/>
    <col min="3846" max="3846" width="20.6640625" style="13" customWidth="1"/>
    <col min="3847" max="3847" width="15.6640625" style="13" customWidth="1"/>
    <col min="3848" max="3849" width="16.109375" style="13" bestFit="1" customWidth="1"/>
    <col min="3850" max="3850" width="13.6640625" style="13" customWidth="1"/>
    <col min="3851" max="3851" width="12.6640625" style="13" bestFit="1" customWidth="1"/>
    <col min="3852" max="3852" width="15.5546875" style="13" customWidth="1"/>
    <col min="3853" max="3853" width="16.109375" style="13" bestFit="1" customWidth="1"/>
    <col min="3854" max="3854" width="13.33203125" style="13" bestFit="1" customWidth="1"/>
    <col min="3855" max="3855" width="16.33203125" style="13" bestFit="1" customWidth="1"/>
    <col min="3856" max="3856" width="9.33203125" style="13" bestFit="1" customWidth="1"/>
    <col min="3857" max="3857" width="13" style="13" bestFit="1" customWidth="1"/>
    <col min="3858" max="3858" width="20.109375" style="13" bestFit="1" customWidth="1"/>
    <col min="3859" max="3859" width="50.33203125" style="13" bestFit="1" customWidth="1"/>
    <col min="3860" max="3860" width="16.109375" style="13" bestFit="1" customWidth="1"/>
    <col min="3861" max="3861" width="12.33203125" style="13" customWidth="1"/>
    <col min="3862" max="3862" width="18.88671875" style="13" bestFit="1" customWidth="1"/>
    <col min="3863" max="3863" width="16.6640625" style="13" customWidth="1"/>
    <col min="3864" max="3864" width="19" style="13" bestFit="1" customWidth="1"/>
    <col min="3865" max="3865" width="9.109375" style="13"/>
    <col min="3866" max="3866" width="18.88671875" style="13" bestFit="1" customWidth="1"/>
    <col min="3867" max="4096" width="9.109375" style="13"/>
    <col min="4097" max="4097" width="10.5546875" style="13" bestFit="1" customWidth="1"/>
    <col min="4098" max="4098" width="44.109375" style="13" customWidth="1"/>
    <col min="4099" max="4099" width="14.6640625" style="13" customWidth="1"/>
    <col min="4100" max="4100" width="23.6640625" style="13" bestFit="1" customWidth="1"/>
    <col min="4101" max="4101" width="11.88671875" style="13" customWidth="1"/>
    <col min="4102" max="4102" width="20.6640625" style="13" customWidth="1"/>
    <col min="4103" max="4103" width="15.6640625" style="13" customWidth="1"/>
    <col min="4104" max="4105" width="16.109375" style="13" bestFit="1" customWidth="1"/>
    <col min="4106" max="4106" width="13.6640625" style="13" customWidth="1"/>
    <col min="4107" max="4107" width="12.6640625" style="13" bestFit="1" customWidth="1"/>
    <col min="4108" max="4108" width="15.5546875" style="13" customWidth="1"/>
    <col min="4109" max="4109" width="16.109375" style="13" bestFit="1" customWidth="1"/>
    <col min="4110" max="4110" width="13.33203125" style="13" bestFit="1" customWidth="1"/>
    <col min="4111" max="4111" width="16.33203125" style="13" bestFit="1" customWidth="1"/>
    <col min="4112" max="4112" width="9.33203125" style="13" bestFit="1" customWidth="1"/>
    <col min="4113" max="4113" width="13" style="13" bestFit="1" customWidth="1"/>
    <col min="4114" max="4114" width="20.109375" style="13" bestFit="1" customWidth="1"/>
    <col min="4115" max="4115" width="50.33203125" style="13" bestFit="1" customWidth="1"/>
    <col min="4116" max="4116" width="16.109375" style="13" bestFit="1" customWidth="1"/>
    <col min="4117" max="4117" width="12.33203125" style="13" customWidth="1"/>
    <col min="4118" max="4118" width="18.88671875" style="13" bestFit="1" customWidth="1"/>
    <col min="4119" max="4119" width="16.6640625" style="13" customWidth="1"/>
    <col min="4120" max="4120" width="19" style="13" bestFit="1" customWidth="1"/>
    <col min="4121" max="4121" width="9.109375" style="13"/>
    <col min="4122" max="4122" width="18.88671875" style="13" bestFit="1" customWidth="1"/>
    <col min="4123" max="4352" width="9.109375" style="13"/>
    <col min="4353" max="4353" width="10.5546875" style="13" bestFit="1" customWidth="1"/>
    <col min="4354" max="4354" width="44.109375" style="13" customWidth="1"/>
    <col min="4355" max="4355" width="14.6640625" style="13" customWidth="1"/>
    <col min="4356" max="4356" width="23.6640625" style="13" bestFit="1" customWidth="1"/>
    <col min="4357" max="4357" width="11.88671875" style="13" customWidth="1"/>
    <col min="4358" max="4358" width="20.6640625" style="13" customWidth="1"/>
    <col min="4359" max="4359" width="15.6640625" style="13" customWidth="1"/>
    <col min="4360" max="4361" width="16.109375" style="13" bestFit="1" customWidth="1"/>
    <col min="4362" max="4362" width="13.6640625" style="13" customWidth="1"/>
    <col min="4363" max="4363" width="12.6640625" style="13" bestFit="1" customWidth="1"/>
    <col min="4364" max="4364" width="15.5546875" style="13" customWidth="1"/>
    <col min="4365" max="4365" width="16.109375" style="13" bestFit="1" customWidth="1"/>
    <col min="4366" max="4366" width="13.33203125" style="13" bestFit="1" customWidth="1"/>
    <col min="4367" max="4367" width="16.33203125" style="13" bestFit="1" customWidth="1"/>
    <col min="4368" max="4368" width="9.33203125" style="13" bestFit="1" customWidth="1"/>
    <col min="4369" max="4369" width="13" style="13" bestFit="1" customWidth="1"/>
    <col min="4370" max="4370" width="20.109375" style="13" bestFit="1" customWidth="1"/>
    <col min="4371" max="4371" width="50.33203125" style="13" bestFit="1" customWidth="1"/>
    <col min="4372" max="4372" width="16.109375" style="13" bestFit="1" customWidth="1"/>
    <col min="4373" max="4373" width="12.33203125" style="13" customWidth="1"/>
    <col min="4374" max="4374" width="18.88671875" style="13" bestFit="1" customWidth="1"/>
    <col min="4375" max="4375" width="16.6640625" style="13" customWidth="1"/>
    <col min="4376" max="4376" width="19" style="13" bestFit="1" customWidth="1"/>
    <col min="4377" max="4377" width="9.109375" style="13"/>
    <col min="4378" max="4378" width="18.88671875" style="13" bestFit="1" customWidth="1"/>
    <col min="4379" max="4608" width="9.109375" style="13"/>
    <col min="4609" max="4609" width="10.5546875" style="13" bestFit="1" customWidth="1"/>
    <col min="4610" max="4610" width="44.109375" style="13" customWidth="1"/>
    <col min="4611" max="4611" width="14.6640625" style="13" customWidth="1"/>
    <col min="4612" max="4612" width="23.6640625" style="13" bestFit="1" customWidth="1"/>
    <col min="4613" max="4613" width="11.88671875" style="13" customWidth="1"/>
    <col min="4614" max="4614" width="20.6640625" style="13" customWidth="1"/>
    <col min="4615" max="4615" width="15.6640625" style="13" customWidth="1"/>
    <col min="4616" max="4617" width="16.109375" style="13" bestFit="1" customWidth="1"/>
    <col min="4618" max="4618" width="13.6640625" style="13" customWidth="1"/>
    <col min="4619" max="4619" width="12.6640625" style="13" bestFit="1" customWidth="1"/>
    <col min="4620" max="4620" width="15.5546875" style="13" customWidth="1"/>
    <col min="4621" max="4621" width="16.109375" style="13" bestFit="1" customWidth="1"/>
    <col min="4622" max="4622" width="13.33203125" style="13" bestFit="1" customWidth="1"/>
    <col min="4623" max="4623" width="16.33203125" style="13" bestFit="1" customWidth="1"/>
    <col min="4624" max="4624" width="9.33203125" style="13" bestFit="1" customWidth="1"/>
    <col min="4625" max="4625" width="13" style="13" bestFit="1" customWidth="1"/>
    <col min="4626" max="4626" width="20.109375" style="13" bestFit="1" customWidth="1"/>
    <col min="4627" max="4627" width="50.33203125" style="13" bestFit="1" customWidth="1"/>
    <col min="4628" max="4628" width="16.109375" style="13" bestFit="1" customWidth="1"/>
    <col min="4629" max="4629" width="12.33203125" style="13" customWidth="1"/>
    <col min="4630" max="4630" width="18.88671875" style="13" bestFit="1" customWidth="1"/>
    <col min="4631" max="4631" width="16.6640625" style="13" customWidth="1"/>
    <col min="4632" max="4632" width="19" style="13" bestFit="1" customWidth="1"/>
    <col min="4633" max="4633" width="9.109375" style="13"/>
    <col min="4634" max="4634" width="18.88671875" style="13" bestFit="1" customWidth="1"/>
    <col min="4635" max="4864" width="9.109375" style="13"/>
    <col min="4865" max="4865" width="10.5546875" style="13" bestFit="1" customWidth="1"/>
    <col min="4866" max="4866" width="44.109375" style="13" customWidth="1"/>
    <col min="4867" max="4867" width="14.6640625" style="13" customWidth="1"/>
    <col min="4868" max="4868" width="23.6640625" style="13" bestFit="1" customWidth="1"/>
    <col min="4869" max="4869" width="11.88671875" style="13" customWidth="1"/>
    <col min="4870" max="4870" width="20.6640625" style="13" customWidth="1"/>
    <col min="4871" max="4871" width="15.6640625" style="13" customWidth="1"/>
    <col min="4872" max="4873" width="16.109375" style="13" bestFit="1" customWidth="1"/>
    <col min="4874" max="4874" width="13.6640625" style="13" customWidth="1"/>
    <col min="4875" max="4875" width="12.6640625" style="13" bestFit="1" customWidth="1"/>
    <col min="4876" max="4876" width="15.5546875" style="13" customWidth="1"/>
    <col min="4877" max="4877" width="16.109375" style="13" bestFit="1" customWidth="1"/>
    <col min="4878" max="4878" width="13.33203125" style="13" bestFit="1" customWidth="1"/>
    <col min="4879" max="4879" width="16.33203125" style="13" bestFit="1" customWidth="1"/>
    <col min="4880" max="4880" width="9.33203125" style="13" bestFit="1" customWidth="1"/>
    <col min="4881" max="4881" width="13" style="13" bestFit="1" customWidth="1"/>
    <col min="4882" max="4882" width="20.109375" style="13" bestFit="1" customWidth="1"/>
    <col min="4883" max="4883" width="50.33203125" style="13" bestFit="1" customWidth="1"/>
    <col min="4884" max="4884" width="16.109375" style="13" bestFit="1" customWidth="1"/>
    <col min="4885" max="4885" width="12.33203125" style="13" customWidth="1"/>
    <col min="4886" max="4886" width="18.88671875" style="13" bestFit="1" customWidth="1"/>
    <col min="4887" max="4887" width="16.6640625" style="13" customWidth="1"/>
    <col min="4888" max="4888" width="19" style="13" bestFit="1" customWidth="1"/>
    <col min="4889" max="4889" width="9.109375" style="13"/>
    <col min="4890" max="4890" width="18.88671875" style="13" bestFit="1" customWidth="1"/>
    <col min="4891" max="5120" width="9.109375" style="13"/>
    <col min="5121" max="5121" width="10.5546875" style="13" bestFit="1" customWidth="1"/>
    <col min="5122" max="5122" width="44.109375" style="13" customWidth="1"/>
    <col min="5123" max="5123" width="14.6640625" style="13" customWidth="1"/>
    <col min="5124" max="5124" width="23.6640625" style="13" bestFit="1" customWidth="1"/>
    <col min="5125" max="5125" width="11.88671875" style="13" customWidth="1"/>
    <col min="5126" max="5126" width="20.6640625" style="13" customWidth="1"/>
    <col min="5127" max="5127" width="15.6640625" style="13" customWidth="1"/>
    <col min="5128" max="5129" width="16.109375" style="13" bestFit="1" customWidth="1"/>
    <col min="5130" max="5130" width="13.6640625" style="13" customWidth="1"/>
    <col min="5131" max="5131" width="12.6640625" style="13" bestFit="1" customWidth="1"/>
    <col min="5132" max="5132" width="15.5546875" style="13" customWidth="1"/>
    <col min="5133" max="5133" width="16.109375" style="13" bestFit="1" customWidth="1"/>
    <col min="5134" max="5134" width="13.33203125" style="13" bestFit="1" customWidth="1"/>
    <col min="5135" max="5135" width="16.33203125" style="13" bestFit="1" customWidth="1"/>
    <col min="5136" max="5136" width="9.33203125" style="13" bestFit="1" customWidth="1"/>
    <col min="5137" max="5137" width="13" style="13" bestFit="1" customWidth="1"/>
    <col min="5138" max="5138" width="20.109375" style="13" bestFit="1" customWidth="1"/>
    <col min="5139" max="5139" width="50.33203125" style="13" bestFit="1" customWidth="1"/>
    <col min="5140" max="5140" width="16.109375" style="13" bestFit="1" customWidth="1"/>
    <col min="5141" max="5141" width="12.33203125" style="13" customWidth="1"/>
    <col min="5142" max="5142" width="18.88671875" style="13" bestFit="1" customWidth="1"/>
    <col min="5143" max="5143" width="16.6640625" style="13" customWidth="1"/>
    <col min="5144" max="5144" width="19" style="13" bestFit="1" customWidth="1"/>
    <col min="5145" max="5145" width="9.109375" style="13"/>
    <col min="5146" max="5146" width="18.88671875" style="13" bestFit="1" customWidth="1"/>
    <col min="5147" max="5376" width="9.109375" style="13"/>
    <col min="5377" max="5377" width="10.5546875" style="13" bestFit="1" customWidth="1"/>
    <col min="5378" max="5378" width="44.109375" style="13" customWidth="1"/>
    <col min="5379" max="5379" width="14.6640625" style="13" customWidth="1"/>
    <col min="5380" max="5380" width="23.6640625" style="13" bestFit="1" customWidth="1"/>
    <col min="5381" max="5381" width="11.88671875" style="13" customWidth="1"/>
    <col min="5382" max="5382" width="20.6640625" style="13" customWidth="1"/>
    <col min="5383" max="5383" width="15.6640625" style="13" customWidth="1"/>
    <col min="5384" max="5385" width="16.109375" style="13" bestFit="1" customWidth="1"/>
    <col min="5386" max="5386" width="13.6640625" style="13" customWidth="1"/>
    <col min="5387" max="5387" width="12.6640625" style="13" bestFit="1" customWidth="1"/>
    <col min="5388" max="5388" width="15.5546875" style="13" customWidth="1"/>
    <col min="5389" max="5389" width="16.109375" style="13" bestFit="1" customWidth="1"/>
    <col min="5390" max="5390" width="13.33203125" style="13" bestFit="1" customWidth="1"/>
    <col min="5391" max="5391" width="16.33203125" style="13" bestFit="1" customWidth="1"/>
    <col min="5392" max="5392" width="9.33203125" style="13" bestFit="1" customWidth="1"/>
    <col min="5393" max="5393" width="13" style="13" bestFit="1" customWidth="1"/>
    <col min="5394" max="5394" width="20.109375" style="13" bestFit="1" customWidth="1"/>
    <col min="5395" max="5395" width="50.33203125" style="13" bestFit="1" customWidth="1"/>
    <col min="5396" max="5396" width="16.109375" style="13" bestFit="1" customWidth="1"/>
    <col min="5397" max="5397" width="12.33203125" style="13" customWidth="1"/>
    <col min="5398" max="5398" width="18.88671875" style="13" bestFit="1" customWidth="1"/>
    <col min="5399" max="5399" width="16.6640625" style="13" customWidth="1"/>
    <col min="5400" max="5400" width="19" style="13" bestFit="1" customWidth="1"/>
    <col min="5401" max="5401" width="9.109375" style="13"/>
    <col min="5402" max="5402" width="18.88671875" style="13" bestFit="1" customWidth="1"/>
    <col min="5403" max="5632" width="9.109375" style="13"/>
    <col min="5633" max="5633" width="10.5546875" style="13" bestFit="1" customWidth="1"/>
    <col min="5634" max="5634" width="44.109375" style="13" customWidth="1"/>
    <col min="5635" max="5635" width="14.6640625" style="13" customWidth="1"/>
    <col min="5636" max="5636" width="23.6640625" style="13" bestFit="1" customWidth="1"/>
    <col min="5637" max="5637" width="11.88671875" style="13" customWidth="1"/>
    <col min="5638" max="5638" width="20.6640625" style="13" customWidth="1"/>
    <col min="5639" max="5639" width="15.6640625" style="13" customWidth="1"/>
    <col min="5640" max="5641" width="16.109375" style="13" bestFit="1" customWidth="1"/>
    <col min="5642" max="5642" width="13.6640625" style="13" customWidth="1"/>
    <col min="5643" max="5643" width="12.6640625" style="13" bestFit="1" customWidth="1"/>
    <col min="5644" max="5644" width="15.5546875" style="13" customWidth="1"/>
    <col min="5645" max="5645" width="16.109375" style="13" bestFit="1" customWidth="1"/>
    <col min="5646" max="5646" width="13.33203125" style="13" bestFit="1" customWidth="1"/>
    <col min="5647" max="5647" width="16.33203125" style="13" bestFit="1" customWidth="1"/>
    <col min="5648" max="5648" width="9.33203125" style="13" bestFit="1" customWidth="1"/>
    <col min="5649" max="5649" width="13" style="13" bestFit="1" customWidth="1"/>
    <col min="5650" max="5650" width="20.109375" style="13" bestFit="1" customWidth="1"/>
    <col min="5651" max="5651" width="50.33203125" style="13" bestFit="1" customWidth="1"/>
    <col min="5652" max="5652" width="16.109375" style="13" bestFit="1" customWidth="1"/>
    <col min="5653" max="5653" width="12.33203125" style="13" customWidth="1"/>
    <col min="5654" max="5654" width="18.88671875" style="13" bestFit="1" customWidth="1"/>
    <col min="5655" max="5655" width="16.6640625" style="13" customWidth="1"/>
    <col min="5656" max="5656" width="19" style="13" bestFit="1" customWidth="1"/>
    <col min="5657" max="5657" width="9.109375" style="13"/>
    <col min="5658" max="5658" width="18.88671875" style="13" bestFit="1" customWidth="1"/>
    <col min="5659" max="5888" width="9.109375" style="13"/>
    <col min="5889" max="5889" width="10.5546875" style="13" bestFit="1" customWidth="1"/>
    <col min="5890" max="5890" width="44.109375" style="13" customWidth="1"/>
    <col min="5891" max="5891" width="14.6640625" style="13" customWidth="1"/>
    <col min="5892" max="5892" width="23.6640625" style="13" bestFit="1" customWidth="1"/>
    <col min="5893" max="5893" width="11.88671875" style="13" customWidth="1"/>
    <col min="5894" max="5894" width="20.6640625" style="13" customWidth="1"/>
    <col min="5895" max="5895" width="15.6640625" style="13" customWidth="1"/>
    <col min="5896" max="5897" width="16.109375" style="13" bestFit="1" customWidth="1"/>
    <col min="5898" max="5898" width="13.6640625" style="13" customWidth="1"/>
    <col min="5899" max="5899" width="12.6640625" style="13" bestFit="1" customWidth="1"/>
    <col min="5900" max="5900" width="15.5546875" style="13" customWidth="1"/>
    <col min="5901" max="5901" width="16.109375" style="13" bestFit="1" customWidth="1"/>
    <col min="5902" max="5902" width="13.33203125" style="13" bestFit="1" customWidth="1"/>
    <col min="5903" max="5903" width="16.33203125" style="13" bestFit="1" customWidth="1"/>
    <col min="5904" max="5904" width="9.33203125" style="13" bestFit="1" customWidth="1"/>
    <col min="5905" max="5905" width="13" style="13" bestFit="1" customWidth="1"/>
    <col min="5906" max="5906" width="20.109375" style="13" bestFit="1" customWidth="1"/>
    <col min="5907" max="5907" width="50.33203125" style="13" bestFit="1" customWidth="1"/>
    <col min="5908" max="5908" width="16.109375" style="13" bestFit="1" customWidth="1"/>
    <col min="5909" max="5909" width="12.33203125" style="13" customWidth="1"/>
    <col min="5910" max="5910" width="18.88671875" style="13" bestFit="1" customWidth="1"/>
    <col min="5911" max="5911" width="16.6640625" style="13" customWidth="1"/>
    <col min="5912" max="5912" width="19" style="13" bestFit="1" customWidth="1"/>
    <col min="5913" max="5913" width="9.109375" style="13"/>
    <col min="5914" max="5914" width="18.88671875" style="13" bestFit="1" customWidth="1"/>
    <col min="5915" max="6144" width="9.109375" style="13"/>
    <col min="6145" max="6145" width="10.5546875" style="13" bestFit="1" customWidth="1"/>
    <col min="6146" max="6146" width="44.109375" style="13" customWidth="1"/>
    <col min="6147" max="6147" width="14.6640625" style="13" customWidth="1"/>
    <col min="6148" max="6148" width="23.6640625" style="13" bestFit="1" customWidth="1"/>
    <col min="6149" max="6149" width="11.88671875" style="13" customWidth="1"/>
    <col min="6150" max="6150" width="20.6640625" style="13" customWidth="1"/>
    <col min="6151" max="6151" width="15.6640625" style="13" customWidth="1"/>
    <col min="6152" max="6153" width="16.109375" style="13" bestFit="1" customWidth="1"/>
    <col min="6154" max="6154" width="13.6640625" style="13" customWidth="1"/>
    <col min="6155" max="6155" width="12.6640625" style="13" bestFit="1" customWidth="1"/>
    <col min="6156" max="6156" width="15.5546875" style="13" customWidth="1"/>
    <col min="6157" max="6157" width="16.109375" style="13" bestFit="1" customWidth="1"/>
    <col min="6158" max="6158" width="13.33203125" style="13" bestFit="1" customWidth="1"/>
    <col min="6159" max="6159" width="16.33203125" style="13" bestFit="1" customWidth="1"/>
    <col min="6160" max="6160" width="9.33203125" style="13" bestFit="1" customWidth="1"/>
    <col min="6161" max="6161" width="13" style="13" bestFit="1" customWidth="1"/>
    <col min="6162" max="6162" width="20.109375" style="13" bestFit="1" customWidth="1"/>
    <col min="6163" max="6163" width="50.33203125" style="13" bestFit="1" customWidth="1"/>
    <col min="6164" max="6164" width="16.109375" style="13" bestFit="1" customWidth="1"/>
    <col min="6165" max="6165" width="12.33203125" style="13" customWidth="1"/>
    <col min="6166" max="6166" width="18.88671875" style="13" bestFit="1" customWidth="1"/>
    <col min="6167" max="6167" width="16.6640625" style="13" customWidth="1"/>
    <col min="6168" max="6168" width="19" style="13" bestFit="1" customWidth="1"/>
    <col min="6169" max="6169" width="9.109375" style="13"/>
    <col min="6170" max="6170" width="18.88671875" style="13" bestFit="1" customWidth="1"/>
    <col min="6171" max="6400" width="9.109375" style="13"/>
    <col min="6401" max="6401" width="10.5546875" style="13" bestFit="1" customWidth="1"/>
    <col min="6402" max="6402" width="44.109375" style="13" customWidth="1"/>
    <col min="6403" max="6403" width="14.6640625" style="13" customWidth="1"/>
    <col min="6404" max="6404" width="23.6640625" style="13" bestFit="1" customWidth="1"/>
    <col min="6405" max="6405" width="11.88671875" style="13" customWidth="1"/>
    <col min="6406" max="6406" width="20.6640625" style="13" customWidth="1"/>
    <col min="6407" max="6407" width="15.6640625" style="13" customWidth="1"/>
    <col min="6408" max="6409" width="16.109375" style="13" bestFit="1" customWidth="1"/>
    <col min="6410" max="6410" width="13.6640625" style="13" customWidth="1"/>
    <col min="6411" max="6411" width="12.6640625" style="13" bestFit="1" customWidth="1"/>
    <col min="6412" max="6412" width="15.5546875" style="13" customWidth="1"/>
    <col min="6413" max="6413" width="16.109375" style="13" bestFit="1" customWidth="1"/>
    <col min="6414" max="6414" width="13.33203125" style="13" bestFit="1" customWidth="1"/>
    <col min="6415" max="6415" width="16.33203125" style="13" bestFit="1" customWidth="1"/>
    <col min="6416" max="6416" width="9.33203125" style="13" bestFit="1" customWidth="1"/>
    <col min="6417" max="6417" width="13" style="13" bestFit="1" customWidth="1"/>
    <col min="6418" max="6418" width="20.109375" style="13" bestFit="1" customWidth="1"/>
    <col min="6419" max="6419" width="50.33203125" style="13" bestFit="1" customWidth="1"/>
    <col min="6420" max="6420" width="16.109375" style="13" bestFit="1" customWidth="1"/>
    <col min="6421" max="6421" width="12.33203125" style="13" customWidth="1"/>
    <col min="6422" max="6422" width="18.88671875" style="13" bestFit="1" customWidth="1"/>
    <col min="6423" max="6423" width="16.6640625" style="13" customWidth="1"/>
    <col min="6424" max="6424" width="19" style="13" bestFit="1" customWidth="1"/>
    <col min="6425" max="6425" width="9.109375" style="13"/>
    <col min="6426" max="6426" width="18.88671875" style="13" bestFit="1" customWidth="1"/>
    <col min="6427" max="6656" width="9.109375" style="13"/>
    <col min="6657" max="6657" width="10.5546875" style="13" bestFit="1" customWidth="1"/>
    <col min="6658" max="6658" width="44.109375" style="13" customWidth="1"/>
    <col min="6659" max="6659" width="14.6640625" style="13" customWidth="1"/>
    <col min="6660" max="6660" width="23.6640625" style="13" bestFit="1" customWidth="1"/>
    <col min="6661" max="6661" width="11.88671875" style="13" customWidth="1"/>
    <col min="6662" max="6662" width="20.6640625" style="13" customWidth="1"/>
    <col min="6663" max="6663" width="15.6640625" style="13" customWidth="1"/>
    <col min="6664" max="6665" width="16.109375" style="13" bestFit="1" customWidth="1"/>
    <col min="6666" max="6666" width="13.6640625" style="13" customWidth="1"/>
    <col min="6667" max="6667" width="12.6640625" style="13" bestFit="1" customWidth="1"/>
    <col min="6668" max="6668" width="15.5546875" style="13" customWidth="1"/>
    <col min="6669" max="6669" width="16.109375" style="13" bestFit="1" customWidth="1"/>
    <col min="6670" max="6670" width="13.33203125" style="13" bestFit="1" customWidth="1"/>
    <col min="6671" max="6671" width="16.33203125" style="13" bestFit="1" customWidth="1"/>
    <col min="6672" max="6672" width="9.33203125" style="13" bestFit="1" customWidth="1"/>
    <col min="6673" max="6673" width="13" style="13" bestFit="1" customWidth="1"/>
    <col min="6674" max="6674" width="20.109375" style="13" bestFit="1" customWidth="1"/>
    <col min="6675" max="6675" width="50.33203125" style="13" bestFit="1" customWidth="1"/>
    <col min="6676" max="6676" width="16.109375" style="13" bestFit="1" customWidth="1"/>
    <col min="6677" max="6677" width="12.33203125" style="13" customWidth="1"/>
    <col min="6678" max="6678" width="18.88671875" style="13" bestFit="1" customWidth="1"/>
    <col min="6679" max="6679" width="16.6640625" style="13" customWidth="1"/>
    <col min="6680" max="6680" width="19" style="13" bestFit="1" customWidth="1"/>
    <col min="6681" max="6681" width="9.109375" style="13"/>
    <col min="6682" max="6682" width="18.88671875" style="13" bestFit="1" customWidth="1"/>
    <col min="6683" max="6912" width="9.109375" style="13"/>
    <col min="6913" max="6913" width="10.5546875" style="13" bestFit="1" customWidth="1"/>
    <col min="6914" max="6914" width="44.109375" style="13" customWidth="1"/>
    <col min="6915" max="6915" width="14.6640625" style="13" customWidth="1"/>
    <col min="6916" max="6916" width="23.6640625" style="13" bestFit="1" customWidth="1"/>
    <col min="6917" max="6917" width="11.88671875" style="13" customWidth="1"/>
    <col min="6918" max="6918" width="20.6640625" style="13" customWidth="1"/>
    <col min="6919" max="6919" width="15.6640625" style="13" customWidth="1"/>
    <col min="6920" max="6921" width="16.109375" style="13" bestFit="1" customWidth="1"/>
    <col min="6922" max="6922" width="13.6640625" style="13" customWidth="1"/>
    <col min="6923" max="6923" width="12.6640625" style="13" bestFit="1" customWidth="1"/>
    <col min="6924" max="6924" width="15.5546875" style="13" customWidth="1"/>
    <col min="6925" max="6925" width="16.109375" style="13" bestFit="1" customWidth="1"/>
    <col min="6926" max="6926" width="13.33203125" style="13" bestFit="1" customWidth="1"/>
    <col min="6927" max="6927" width="16.33203125" style="13" bestFit="1" customWidth="1"/>
    <col min="6928" max="6928" width="9.33203125" style="13" bestFit="1" customWidth="1"/>
    <col min="6929" max="6929" width="13" style="13" bestFit="1" customWidth="1"/>
    <col min="6930" max="6930" width="20.109375" style="13" bestFit="1" customWidth="1"/>
    <col min="6931" max="6931" width="50.33203125" style="13" bestFit="1" customWidth="1"/>
    <col min="6932" max="6932" width="16.109375" style="13" bestFit="1" customWidth="1"/>
    <col min="6933" max="6933" width="12.33203125" style="13" customWidth="1"/>
    <col min="6934" max="6934" width="18.88671875" style="13" bestFit="1" customWidth="1"/>
    <col min="6935" max="6935" width="16.6640625" style="13" customWidth="1"/>
    <col min="6936" max="6936" width="19" style="13" bestFit="1" customWidth="1"/>
    <col min="6937" max="6937" width="9.109375" style="13"/>
    <col min="6938" max="6938" width="18.88671875" style="13" bestFit="1" customWidth="1"/>
    <col min="6939" max="7168" width="9.109375" style="13"/>
    <col min="7169" max="7169" width="10.5546875" style="13" bestFit="1" customWidth="1"/>
    <col min="7170" max="7170" width="44.109375" style="13" customWidth="1"/>
    <col min="7171" max="7171" width="14.6640625" style="13" customWidth="1"/>
    <col min="7172" max="7172" width="23.6640625" style="13" bestFit="1" customWidth="1"/>
    <col min="7173" max="7173" width="11.88671875" style="13" customWidth="1"/>
    <col min="7174" max="7174" width="20.6640625" style="13" customWidth="1"/>
    <col min="7175" max="7175" width="15.6640625" style="13" customWidth="1"/>
    <col min="7176" max="7177" width="16.109375" style="13" bestFit="1" customWidth="1"/>
    <col min="7178" max="7178" width="13.6640625" style="13" customWidth="1"/>
    <col min="7179" max="7179" width="12.6640625" style="13" bestFit="1" customWidth="1"/>
    <col min="7180" max="7180" width="15.5546875" style="13" customWidth="1"/>
    <col min="7181" max="7181" width="16.109375" style="13" bestFit="1" customWidth="1"/>
    <col min="7182" max="7182" width="13.33203125" style="13" bestFit="1" customWidth="1"/>
    <col min="7183" max="7183" width="16.33203125" style="13" bestFit="1" customWidth="1"/>
    <col min="7184" max="7184" width="9.33203125" style="13" bestFit="1" customWidth="1"/>
    <col min="7185" max="7185" width="13" style="13" bestFit="1" customWidth="1"/>
    <col min="7186" max="7186" width="20.109375" style="13" bestFit="1" customWidth="1"/>
    <col min="7187" max="7187" width="50.33203125" style="13" bestFit="1" customWidth="1"/>
    <col min="7188" max="7188" width="16.109375" style="13" bestFit="1" customWidth="1"/>
    <col min="7189" max="7189" width="12.33203125" style="13" customWidth="1"/>
    <col min="7190" max="7190" width="18.88671875" style="13" bestFit="1" customWidth="1"/>
    <col min="7191" max="7191" width="16.6640625" style="13" customWidth="1"/>
    <col min="7192" max="7192" width="19" style="13" bestFit="1" customWidth="1"/>
    <col min="7193" max="7193" width="9.109375" style="13"/>
    <col min="7194" max="7194" width="18.88671875" style="13" bestFit="1" customWidth="1"/>
    <col min="7195" max="7424" width="9.109375" style="13"/>
    <col min="7425" max="7425" width="10.5546875" style="13" bestFit="1" customWidth="1"/>
    <col min="7426" max="7426" width="44.109375" style="13" customWidth="1"/>
    <col min="7427" max="7427" width="14.6640625" style="13" customWidth="1"/>
    <col min="7428" max="7428" width="23.6640625" style="13" bestFit="1" customWidth="1"/>
    <col min="7429" max="7429" width="11.88671875" style="13" customWidth="1"/>
    <col min="7430" max="7430" width="20.6640625" style="13" customWidth="1"/>
    <col min="7431" max="7431" width="15.6640625" style="13" customWidth="1"/>
    <col min="7432" max="7433" width="16.109375" style="13" bestFit="1" customWidth="1"/>
    <col min="7434" max="7434" width="13.6640625" style="13" customWidth="1"/>
    <col min="7435" max="7435" width="12.6640625" style="13" bestFit="1" customWidth="1"/>
    <col min="7436" max="7436" width="15.5546875" style="13" customWidth="1"/>
    <col min="7437" max="7437" width="16.109375" style="13" bestFit="1" customWidth="1"/>
    <col min="7438" max="7438" width="13.33203125" style="13" bestFit="1" customWidth="1"/>
    <col min="7439" max="7439" width="16.33203125" style="13" bestFit="1" customWidth="1"/>
    <col min="7440" max="7440" width="9.33203125" style="13" bestFit="1" customWidth="1"/>
    <col min="7441" max="7441" width="13" style="13" bestFit="1" customWidth="1"/>
    <col min="7442" max="7442" width="20.109375" style="13" bestFit="1" customWidth="1"/>
    <col min="7443" max="7443" width="50.33203125" style="13" bestFit="1" customWidth="1"/>
    <col min="7444" max="7444" width="16.109375" style="13" bestFit="1" customWidth="1"/>
    <col min="7445" max="7445" width="12.33203125" style="13" customWidth="1"/>
    <col min="7446" max="7446" width="18.88671875" style="13" bestFit="1" customWidth="1"/>
    <col min="7447" max="7447" width="16.6640625" style="13" customWidth="1"/>
    <col min="7448" max="7448" width="19" style="13" bestFit="1" customWidth="1"/>
    <col min="7449" max="7449" width="9.109375" style="13"/>
    <col min="7450" max="7450" width="18.88671875" style="13" bestFit="1" customWidth="1"/>
    <col min="7451" max="7680" width="9.109375" style="13"/>
    <col min="7681" max="7681" width="10.5546875" style="13" bestFit="1" customWidth="1"/>
    <col min="7682" max="7682" width="44.109375" style="13" customWidth="1"/>
    <col min="7683" max="7683" width="14.6640625" style="13" customWidth="1"/>
    <col min="7684" max="7684" width="23.6640625" style="13" bestFit="1" customWidth="1"/>
    <col min="7685" max="7685" width="11.88671875" style="13" customWidth="1"/>
    <col min="7686" max="7686" width="20.6640625" style="13" customWidth="1"/>
    <col min="7687" max="7687" width="15.6640625" style="13" customWidth="1"/>
    <col min="7688" max="7689" width="16.109375" style="13" bestFit="1" customWidth="1"/>
    <col min="7690" max="7690" width="13.6640625" style="13" customWidth="1"/>
    <col min="7691" max="7691" width="12.6640625" style="13" bestFit="1" customWidth="1"/>
    <col min="7692" max="7692" width="15.5546875" style="13" customWidth="1"/>
    <col min="7693" max="7693" width="16.109375" style="13" bestFit="1" customWidth="1"/>
    <col min="7694" max="7694" width="13.33203125" style="13" bestFit="1" customWidth="1"/>
    <col min="7695" max="7695" width="16.33203125" style="13" bestFit="1" customWidth="1"/>
    <col min="7696" max="7696" width="9.33203125" style="13" bestFit="1" customWidth="1"/>
    <col min="7697" max="7697" width="13" style="13" bestFit="1" customWidth="1"/>
    <col min="7698" max="7698" width="20.109375" style="13" bestFit="1" customWidth="1"/>
    <col min="7699" max="7699" width="50.33203125" style="13" bestFit="1" customWidth="1"/>
    <col min="7700" max="7700" width="16.109375" style="13" bestFit="1" customWidth="1"/>
    <col min="7701" max="7701" width="12.33203125" style="13" customWidth="1"/>
    <col min="7702" max="7702" width="18.88671875" style="13" bestFit="1" customWidth="1"/>
    <col min="7703" max="7703" width="16.6640625" style="13" customWidth="1"/>
    <col min="7704" max="7704" width="19" style="13" bestFit="1" customWidth="1"/>
    <col min="7705" max="7705" width="9.109375" style="13"/>
    <col min="7706" max="7706" width="18.88671875" style="13" bestFit="1" customWidth="1"/>
    <col min="7707" max="7936" width="9.109375" style="13"/>
    <col min="7937" max="7937" width="10.5546875" style="13" bestFit="1" customWidth="1"/>
    <col min="7938" max="7938" width="44.109375" style="13" customWidth="1"/>
    <col min="7939" max="7939" width="14.6640625" style="13" customWidth="1"/>
    <col min="7940" max="7940" width="23.6640625" style="13" bestFit="1" customWidth="1"/>
    <col min="7941" max="7941" width="11.88671875" style="13" customWidth="1"/>
    <col min="7942" max="7942" width="20.6640625" style="13" customWidth="1"/>
    <col min="7943" max="7943" width="15.6640625" style="13" customWidth="1"/>
    <col min="7944" max="7945" width="16.109375" style="13" bestFit="1" customWidth="1"/>
    <col min="7946" max="7946" width="13.6640625" style="13" customWidth="1"/>
    <col min="7947" max="7947" width="12.6640625" style="13" bestFit="1" customWidth="1"/>
    <col min="7948" max="7948" width="15.5546875" style="13" customWidth="1"/>
    <col min="7949" max="7949" width="16.109375" style="13" bestFit="1" customWidth="1"/>
    <col min="7950" max="7950" width="13.33203125" style="13" bestFit="1" customWidth="1"/>
    <col min="7951" max="7951" width="16.33203125" style="13" bestFit="1" customWidth="1"/>
    <col min="7952" max="7952" width="9.33203125" style="13" bestFit="1" customWidth="1"/>
    <col min="7953" max="7953" width="13" style="13" bestFit="1" customWidth="1"/>
    <col min="7954" max="7954" width="20.109375" style="13" bestFit="1" customWidth="1"/>
    <col min="7955" max="7955" width="50.33203125" style="13" bestFit="1" customWidth="1"/>
    <col min="7956" max="7956" width="16.109375" style="13" bestFit="1" customWidth="1"/>
    <col min="7957" max="7957" width="12.33203125" style="13" customWidth="1"/>
    <col min="7958" max="7958" width="18.88671875" style="13" bestFit="1" customWidth="1"/>
    <col min="7959" max="7959" width="16.6640625" style="13" customWidth="1"/>
    <col min="7960" max="7960" width="19" style="13" bestFit="1" customWidth="1"/>
    <col min="7961" max="7961" width="9.109375" style="13"/>
    <col min="7962" max="7962" width="18.88671875" style="13" bestFit="1" customWidth="1"/>
    <col min="7963" max="8192" width="9.109375" style="13"/>
    <col min="8193" max="8193" width="10.5546875" style="13" bestFit="1" customWidth="1"/>
    <col min="8194" max="8194" width="44.109375" style="13" customWidth="1"/>
    <col min="8195" max="8195" width="14.6640625" style="13" customWidth="1"/>
    <col min="8196" max="8196" width="23.6640625" style="13" bestFit="1" customWidth="1"/>
    <col min="8197" max="8197" width="11.88671875" style="13" customWidth="1"/>
    <col min="8198" max="8198" width="20.6640625" style="13" customWidth="1"/>
    <col min="8199" max="8199" width="15.6640625" style="13" customWidth="1"/>
    <col min="8200" max="8201" width="16.109375" style="13" bestFit="1" customWidth="1"/>
    <col min="8202" max="8202" width="13.6640625" style="13" customWidth="1"/>
    <col min="8203" max="8203" width="12.6640625" style="13" bestFit="1" customWidth="1"/>
    <col min="8204" max="8204" width="15.5546875" style="13" customWidth="1"/>
    <col min="8205" max="8205" width="16.109375" style="13" bestFit="1" customWidth="1"/>
    <col min="8206" max="8206" width="13.33203125" style="13" bestFit="1" customWidth="1"/>
    <col min="8207" max="8207" width="16.33203125" style="13" bestFit="1" customWidth="1"/>
    <col min="8208" max="8208" width="9.33203125" style="13" bestFit="1" customWidth="1"/>
    <col min="8209" max="8209" width="13" style="13" bestFit="1" customWidth="1"/>
    <col min="8210" max="8210" width="20.109375" style="13" bestFit="1" customWidth="1"/>
    <col min="8211" max="8211" width="50.33203125" style="13" bestFit="1" customWidth="1"/>
    <col min="8212" max="8212" width="16.109375" style="13" bestFit="1" customWidth="1"/>
    <col min="8213" max="8213" width="12.33203125" style="13" customWidth="1"/>
    <col min="8214" max="8214" width="18.88671875" style="13" bestFit="1" customWidth="1"/>
    <col min="8215" max="8215" width="16.6640625" style="13" customWidth="1"/>
    <col min="8216" max="8216" width="19" style="13" bestFit="1" customWidth="1"/>
    <col min="8217" max="8217" width="9.109375" style="13"/>
    <col min="8218" max="8218" width="18.88671875" style="13" bestFit="1" customWidth="1"/>
    <col min="8219" max="8448" width="9.109375" style="13"/>
    <col min="8449" max="8449" width="10.5546875" style="13" bestFit="1" customWidth="1"/>
    <col min="8450" max="8450" width="44.109375" style="13" customWidth="1"/>
    <col min="8451" max="8451" width="14.6640625" style="13" customWidth="1"/>
    <col min="8452" max="8452" width="23.6640625" style="13" bestFit="1" customWidth="1"/>
    <col min="8453" max="8453" width="11.88671875" style="13" customWidth="1"/>
    <col min="8454" max="8454" width="20.6640625" style="13" customWidth="1"/>
    <col min="8455" max="8455" width="15.6640625" style="13" customWidth="1"/>
    <col min="8456" max="8457" width="16.109375" style="13" bestFit="1" customWidth="1"/>
    <col min="8458" max="8458" width="13.6640625" style="13" customWidth="1"/>
    <col min="8459" max="8459" width="12.6640625" style="13" bestFit="1" customWidth="1"/>
    <col min="8460" max="8460" width="15.5546875" style="13" customWidth="1"/>
    <col min="8461" max="8461" width="16.109375" style="13" bestFit="1" customWidth="1"/>
    <col min="8462" max="8462" width="13.33203125" style="13" bestFit="1" customWidth="1"/>
    <col min="8463" max="8463" width="16.33203125" style="13" bestFit="1" customWidth="1"/>
    <col min="8464" max="8464" width="9.33203125" style="13" bestFit="1" customWidth="1"/>
    <col min="8465" max="8465" width="13" style="13" bestFit="1" customWidth="1"/>
    <col min="8466" max="8466" width="20.109375" style="13" bestFit="1" customWidth="1"/>
    <col min="8467" max="8467" width="50.33203125" style="13" bestFit="1" customWidth="1"/>
    <col min="8468" max="8468" width="16.109375" style="13" bestFit="1" customWidth="1"/>
    <col min="8469" max="8469" width="12.33203125" style="13" customWidth="1"/>
    <col min="8470" max="8470" width="18.88671875" style="13" bestFit="1" customWidth="1"/>
    <col min="8471" max="8471" width="16.6640625" style="13" customWidth="1"/>
    <col min="8472" max="8472" width="19" style="13" bestFit="1" customWidth="1"/>
    <col min="8473" max="8473" width="9.109375" style="13"/>
    <col min="8474" max="8474" width="18.88671875" style="13" bestFit="1" customWidth="1"/>
    <col min="8475" max="8704" width="9.109375" style="13"/>
    <col min="8705" max="8705" width="10.5546875" style="13" bestFit="1" customWidth="1"/>
    <col min="8706" max="8706" width="44.109375" style="13" customWidth="1"/>
    <col min="8707" max="8707" width="14.6640625" style="13" customWidth="1"/>
    <col min="8708" max="8708" width="23.6640625" style="13" bestFit="1" customWidth="1"/>
    <col min="8709" max="8709" width="11.88671875" style="13" customWidth="1"/>
    <col min="8710" max="8710" width="20.6640625" style="13" customWidth="1"/>
    <col min="8711" max="8711" width="15.6640625" style="13" customWidth="1"/>
    <col min="8712" max="8713" width="16.109375" style="13" bestFit="1" customWidth="1"/>
    <col min="8714" max="8714" width="13.6640625" style="13" customWidth="1"/>
    <col min="8715" max="8715" width="12.6640625" style="13" bestFit="1" customWidth="1"/>
    <col min="8716" max="8716" width="15.5546875" style="13" customWidth="1"/>
    <col min="8717" max="8717" width="16.109375" style="13" bestFit="1" customWidth="1"/>
    <col min="8718" max="8718" width="13.33203125" style="13" bestFit="1" customWidth="1"/>
    <col min="8719" max="8719" width="16.33203125" style="13" bestFit="1" customWidth="1"/>
    <col min="8720" max="8720" width="9.33203125" style="13" bestFit="1" customWidth="1"/>
    <col min="8721" max="8721" width="13" style="13" bestFit="1" customWidth="1"/>
    <col min="8722" max="8722" width="20.109375" style="13" bestFit="1" customWidth="1"/>
    <col min="8723" max="8723" width="50.33203125" style="13" bestFit="1" customWidth="1"/>
    <col min="8724" max="8724" width="16.109375" style="13" bestFit="1" customWidth="1"/>
    <col min="8725" max="8725" width="12.33203125" style="13" customWidth="1"/>
    <col min="8726" max="8726" width="18.88671875" style="13" bestFit="1" customWidth="1"/>
    <col min="8727" max="8727" width="16.6640625" style="13" customWidth="1"/>
    <col min="8728" max="8728" width="19" style="13" bestFit="1" customWidth="1"/>
    <col min="8729" max="8729" width="9.109375" style="13"/>
    <col min="8730" max="8730" width="18.88671875" style="13" bestFit="1" customWidth="1"/>
    <col min="8731" max="8960" width="9.109375" style="13"/>
    <col min="8961" max="8961" width="10.5546875" style="13" bestFit="1" customWidth="1"/>
    <col min="8962" max="8962" width="44.109375" style="13" customWidth="1"/>
    <col min="8963" max="8963" width="14.6640625" style="13" customWidth="1"/>
    <col min="8964" max="8964" width="23.6640625" style="13" bestFit="1" customWidth="1"/>
    <col min="8965" max="8965" width="11.88671875" style="13" customWidth="1"/>
    <col min="8966" max="8966" width="20.6640625" style="13" customWidth="1"/>
    <col min="8967" max="8967" width="15.6640625" style="13" customWidth="1"/>
    <col min="8968" max="8969" width="16.109375" style="13" bestFit="1" customWidth="1"/>
    <col min="8970" max="8970" width="13.6640625" style="13" customWidth="1"/>
    <col min="8971" max="8971" width="12.6640625" style="13" bestFit="1" customWidth="1"/>
    <col min="8972" max="8972" width="15.5546875" style="13" customWidth="1"/>
    <col min="8973" max="8973" width="16.109375" style="13" bestFit="1" customWidth="1"/>
    <col min="8974" max="8974" width="13.33203125" style="13" bestFit="1" customWidth="1"/>
    <col min="8975" max="8975" width="16.33203125" style="13" bestFit="1" customWidth="1"/>
    <col min="8976" max="8976" width="9.33203125" style="13" bestFit="1" customWidth="1"/>
    <col min="8977" max="8977" width="13" style="13" bestFit="1" customWidth="1"/>
    <col min="8978" max="8978" width="20.109375" style="13" bestFit="1" customWidth="1"/>
    <col min="8979" max="8979" width="50.33203125" style="13" bestFit="1" customWidth="1"/>
    <col min="8980" max="8980" width="16.109375" style="13" bestFit="1" customWidth="1"/>
    <col min="8981" max="8981" width="12.33203125" style="13" customWidth="1"/>
    <col min="8982" max="8982" width="18.88671875" style="13" bestFit="1" customWidth="1"/>
    <col min="8983" max="8983" width="16.6640625" style="13" customWidth="1"/>
    <col min="8984" max="8984" width="19" style="13" bestFit="1" customWidth="1"/>
    <col min="8985" max="8985" width="9.109375" style="13"/>
    <col min="8986" max="8986" width="18.88671875" style="13" bestFit="1" customWidth="1"/>
    <col min="8987" max="9216" width="9.109375" style="13"/>
    <col min="9217" max="9217" width="10.5546875" style="13" bestFit="1" customWidth="1"/>
    <col min="9218" max="9218" width="44.109375" style="13" customWidth="1"/>
    <col min="9219" max="9219" width="14.6640625" style="13" customWidth="1"/>
    <col min="9220" max="9220" width="23.6640625" style="13" bestFit="1" customWidth="1"/>
    <col min="9221" max="9221" width="11.88671875" style="13" customWidth="1"/>
    <col min="9222" max="9222" width="20.6640625" style="13" customWidth="1"/>
    <col min="9223" max="9223" width="15.6640625" style="13" customWidth="1"/>
    <col min="9224" max="9225" width="16.109375" style="13" bestFit="1" customWidth="1"/>
    <col min="9226" max="9226" width="13.6640625" style="13" customWidth="1"/>
    <col min="9227" max="9227" width="12.6640625" style="13" bestFit="1" customWidth="1"/>
    <col min="9228" max="9228" width="15.5546875" style="13" customWidth="1"/>
    <col min="9229" max="9229" width="16.109375" style="13" bestFit="1" customWidth="1"/>
    <col min="9230" max="9230" width="13.33203125" style="13" bestFit="1" customWidth="1"/>
    <col min="9231" max="9231" width="16.33203125" style="13" bestFit="1" customWidth="1"/>
    <col min="9232" max="9232" width="9.33203125" style="13" bestFit="1" customWidth="1"/>
    <col min="9233" max="9233" width="13" style="13" bestFit="1" customWidth="1"/>
    <col min="9234" max="9234" width="20.109375" style="13" bestFit="1" customWidth="1"/>
    <col min="9235" max="9235" width="50.33203125" style="13" bestFit="1" customWidth="1"/>
    <col min="9236" max="9236" width="16.109375" style="13" bestFit="1" customWidth="1"/>
    <col min="9237" max="9237" width="12.33203125" style="13" customWidth="1"/>
    <col min="9238" max="9238" width="18.88671875" style="13" bestFit="1" customWidth="1"/>
    <col min="9239" max="9239" width="16.6640625" style="13" customWidth="1"/>
    <col min="9240" max="9240" width="19" style="13" bestFit="1" customWidth="1"/>
    <col min="9241" max="9241" width="9.109375" style="13"/>
    <col min="9242" max="9242" width="18.88671875" style="13" bestFit="1" customWidth="1"/>
    <col min="9243" max="9472" width="9.109375" style="13"/>
    <col min="9473" max="9473" width="10.5546875" style="13" bestFit="1" customWidth="1"/>
    <col min="9474" max="9474" width="44.109375" style="13" customWidth="1"/>
    <col min="9475" max="9475" width="14.6640625" style="13" customWidth="1"/>
    <col min="9476" max="9476" width="23.6640625" style="13" bestFit="1" customWidth="1"/>
    <col min="9477" max="9477" width="11.88671875" style="13" customWidth="1"/>
    <col min="9478" max="9478" width="20.6640625" style="13" customWidth="1"/>
    <col min="9479" max="9479" width="15.6640625" style="13" customWidth="1"/>
    <col min="9480" max="9481" width="16.109375" style="13" bestFit="1" customWidth="1"/>
    <col min="9482" max="9482" width="13.6640625" style="13" customWidth="1"/>
    <col min="9483" max="9483" width="12.6640625" style="13" bestFit="1" customWidth="1"/>
    <col min="9484" max="9484" width="15.5546875" style="13" customWidth="1"/>
    <col min="9485" max="9485" width="16.109375" style="13" bestFit="1" customWidth="1"/>
    <col min="9486" max="9486" width="13.33203125" style="13" bestFit="1" customWidth="1"/>
    <col min="9487" max="9487" width="16.33203125" style="13" bestFit="1" customWidth="1"/>
    <col min="9488" max="9488" width="9.33203125" style="13" bestFit="1" customWidth="1"/>
    <col min="9489" max="9489" width="13" style="13" bestFit="1" customWidth="1"/>
    <col min="9490" max="9490" width="20.109375" style="13" bestFit="1" customWidth="1"/>
    <col min="9491" max="9491" width="50.33203125" style="13" bestFit="1" customWidth="1"/>
    <col min="9492" max="9492" width="16.109375" style="13" bestFit="1" customWidth="1"/>
    <col min="9493" max="9493" width="12.33203125" style="13" customWidth="1"/>
    <col min="9494" max="9494" width="18.88671875" style="13" bestFit="1" customWidth="1"/>
    <col min="9495" max="9495" width="16.6640625" style="13" customWidth="1"/>
    <col min="9496" max="9496" width="19" style="13" bestFit="1" customWidth="1"/>
    <col min="9497" max="9497" width="9.109375" style="13"/>
    <col min="9498" max="9498" width="18.88671875" style="13" bestFit="1" customWidth="1"/>
    <col min="9499" max="9728" width="9.109375" style="13"/>
    <col min="9729" max="9729" width="10.5546875" style="13" bestFit="1" customWidth="1"/>
    <col min="9730" max="9730" width="44.109375" style="13" customWidth="1"/>
    <col min="9731" max="9731" width="14.6640625" style="13" customWidth="1"/>
    <col min="9732" max="9732" width="23.6640625" style="13" bestFit="1" customWidth="1"/>
    <col min="9733" max="9733" width="11.88671875" style="13" customWidth="1"/>
    <col min="9734" max="9734" width="20.6640625" style="13" customWidth="1"/>
    <col min="9735" max="9735" width="15.6640625" style="13" customWidth="1"/>
    <col min="9736" max="9737" width="16.109375" style="13" bestFit="1" customWidth="1"/>
    <col min="9738" max="9738" width="13.6640625" style="13" customWidth="1"/>
    <col min="9739" max="9739" width="12.6640625" style="13" bestFit="1" customWidth="1"/>
    <col min="9740" max="9740" width="15.5546875" style="13" customWidth="1"/>
    <col min="9741" max="9741" width="16.109375" style="13" bestFit="1" customWidth="1"/>
    <col min="9742" max="9742" width="13.33203125" style="13" bestFit="1" customWidth="1"/>
    <col min="9743" max="9743" width="16.33203125" style="13" bestFit="1" customWidth="1"/>
    <col min="9744" max="9744" width="9.33203125" style="13" bestFit="1" customWidth="1"/>
    <col min="9745" max="9745" width="13" style="13" bestFit="1" customWidth="1"/>
    <col min="9746" max="9746" width="20.109375" style="13" bestFit="1" customWidth="1"/>
    <col min="9747" max="9747" width="50.33203125" style="13" bestFit="1" customWidth="1"/>
    <col min="9748" max="9748" width="16.109375" style="13" bestFit="1" customWidth="1"/>
    <col min="9749" max="9749" width="12.33203125" style="13" customWidth="1"/>
    <col min="9750" max="9750" width="18.88671875" style="13" bestFit="1" customWidth="1"/>
    <col min="9751" max="9751" width="16.6640625" style="13" customWidth="1"/>
    <col min="9752" max="9752" width="19" style="13" bestFit="1" customWidth="1"/>
    <col min="9753" max="9753" width="9.109375" style="13"/>
    <col min="9754" max="9754" width="18.88671875" style="13" bestFit="1" customWidth="1"/>
    <col min="9755" max="9984" width="9.109375" style="13"/>
    <col min="9985" max="9985" width="10.5546875" style="13" bestFit="1" customWidth="1"/>
    <col min="9986" max="9986" width="44.109375" style="13" customWidth="1"/>
    <col min="9987" max="9987" width="14.6640625" style="13" customWidth="1"/>
    <col min="9988" max="9988" width="23.6640625" style="13" bestFit="1" customWidth="1"/>
    <col min="9989" max="9989" width="11.88671875" style="13" customWidth="1"/>
    <col min="9990" max="9990" width="20.6640625" style="13" customWidth="1"/>
    <col min="9991" max="9991" width="15.6640625" style="13" customWidth="1"/>
    <col min="9992" max="9993" width="16.109375" style="13" bestFit="1" customWidth="1"/>
    <col min="9994" max="9994" width="13.6640625" style="13" customWidth="1"/>
    <col min="9995" max="9995" width="12.6640625" style="13" bestFit="1" customWidth="1"/>
    <col min="9996" max="9996" width="15.5546875" style="13" customWidth="1"/>
    <col min="9997" max="9997" width="16.109375" style="13" bestFit="1" customWidth="1"/>
    <col min="9998" max="9998" width="13.33203125" style="13" bestFit="1" customWidth="1"/>
    <col min="9999" max="9999" width="16.33203125" style="13" bestFit="1" customWidth="1"/>
    <col min="10000" max="10000" width="9.33203125" style="13" bestFit="1" customWidth="1"/>
    <col min="10001" max="10001" width="13" style="13" bestFit="1" customWidth="1"/>
    <col min="10002" max="10002" width="20.109375" style="13" bestFit="1" customWidth="1"/>
    <col min="10003" max="10003" width="50.33203125" style="13" bestFit="1" customWidth="1"/>
    <col min="10004" max="10004" width="16.109375" style="13" bestFit="1" customWidth="1"/>
    <col min="10005" max="10005" width="12.33203125" style="13" customWidth="1"/>
    <col min="10006" max="10006" width="18.88671875" style="13" bestFit="1" customWidth="1"/>
    <col min="10007" max="10007" width="16.6640625" style="13" customWidth="1"/>
    <col min="10008" max="10008" width="19" style="13" bestFit="1" customWidth="1"/>
    <col min="10009" max="10009" width="9.109375" style="13"/>
    <col min="10010" max="10010" width="18.88671875" style="13" bestFit="1" customWidth="1"/>
    <col min="10011" max="10240" width="9.109375" style="13"/>
    <col min="10241" max="10241" width="10.5546875" style="13" bestFit="1" customWidth="1"/>
    <col min="10242" max="10242" width="44.109375" style="13" customWidth="1"/>
    <col min="10243" max="10243" width="14.6640625" style="13" customWidth="1"/>
    <col min="10244" max="10244" width="23.6640625" style="13" bestFit="1" customWidth="1"/>
    <col min="10245" max="10245" width="11.88671875" style="13" customWidth="1"/>
    <col min="10246" max="10246" width="20.6640625" style="13" customWidth="1"/>
    <col min="10247" max="10247" width="15.6640625" style="13" customWidth="1"/>
    <col min="10248" max="10249" width="16.109375" style="13" bestFit="1" customWidth="1"/>
    <col min="10250" max="10250" width="13.6640625" style="13" customWidth="1"/>
    <col min="10251" max="10251" width="12.6640625" style="13" bestFit="1" customWidth="1"/>
    <col min="10252" max="10252" width="15.5546875" style="13" customWidth="1"/>
    <col min="10253" max="10253" width="16.109375" style="13" bestFit="1" customWidth="1"/>
    <col min="10254" max="10254" width="13.33203125" style="13" bestFit="1" customWidth="1"/>
    <col min="10255" max="10255" width="16.33203125" style="13" bestFit="1" customWidth="1"/>
    <col min="10256" max="10256" width="9.33203125" style="13" bestFit="1" customWidth="1"/>
    <col min="10257" max="10257" width="13" style="13" bestFit="1" customWidth="1"/>
    <col min="10258" max="10258" width="20.109375" style="13" bestFit="1" customWidth="1"/>
    <col min="10259" max="10259" width="50.33203125" style="13" bestFit="1" customWidth="1"/>
    <col min="10260" max="10260" width="16.109375" style="13" bestFit="1" customWidth="1"/>
    <col min="10261" max="10261" width="12.33203125" style="13" customWidth="1"/>
    <col min="10262" max="10262" width="18.88671875" style="13" bestFit="1" customWidth="1"/>
    <col min="10263" max="10263" width="16.6640625" style="13" customWidth="1"/>
    <col min="10264" max="10264" width="19" style="13" bestFit="1" customWidth="1"/>
    <col min="10265" max="10265" width="9.109375" style="13"/>
    <col min="10266" max="10266" width="18.88671875" style="13" bestFit="1" customWidth="1"/>
    <col min="10267" max="10496" width="9.109375" style="13"/>
    <col min="10497" max="10497" width="10.5546875" style="13" bestFit="1" customWidth="1"/>
    <col min="10498" max="10498" width="44.109375" style="13" customWidth="1"/>
    <col min="10499" max="10499" width="14.6640625" style="13" customWidth="1"/>
    <col min="10500" max="10500" width="23.6640625" style="13" bestFit="1" customWidth="1"/>
    <col min="10501" max="10501" width="11.88671875" style="13" customWidth="1"/>
    <col min="10502" max="10502" width="20.6640625" style="13" customWidth="1"/>
    <col min="10503" max="10503" width="15.6640625" style="13" customWidth="1"/>
    <col min="10504" max="10505" width="16.109375" style="13" bestFit="1" customWidth="1"/>
    <col min="10506" max="10506" width="13.6640625" style="13" customWidth="1"/>
    <col min="10507" max="10507" width="12.6640625" style="13" bestFit="1" customWidth="1"/>
    <col min="10508" max="10508" width="15.5546875" style="13" customWidth="1"/>
    <col min="10509" max="10509" width="16.109375" style="13" bestFit="1" customWidth="1"/>
    <col min="10510" max="10510" width="13.33203125" style="13" bestFit="1" customWidth="1"/>
    <col min="10511" max="10511" width="16.33203125" style="13" bestFit="1" customWidth="1"/>
    <col min="10512" max="10512" width="9.33203125" style="13" bestFit="1" customWidth="1"/>
    <col min="10513" max="10513" width="13" style="13" bestFit="1" customWidth="1"/>
    <col min="10514" max="10514" width="20.109375" style="13" bestFit="1" customWidth="1"/>
    <col min="10515" max="10515" width="50.33203125" style="13" bestFit="1" customWidth="1"/>
    <col min="10516" max="10516" width="16.109375" style="13" bestFit="1" customWidth="1"/>
    <col min="10517" max="10517" width="12.33203125" style="13" customWidth="1"/>
    <col min="10518" max="10518" width="18.88671875" style="13" bestFit="1" customWidth="1"/>
    <col min="10519" max="10519" width="16.6640625" style="13" customWidth="1"/>
    <col min="10520" max="10520" width="19" style="13" bestFit="1" customWidth="1"/>
    <col min="10521" max="10521" width="9.109375" style="13"/>
    <col min="10522" max="10522" width="18.88671875" style="13" bestFit="1" customWidth="1"/>
    <col min="10523" max="10752" width="9.109375" style="13"/>
    <col min="10753" max="10753" width="10.5546875" style="13" bestFit="1" customWidth="1"/>
    <col min="10754" max="10754" width="44.109375" style="13" customWidth="1"/>
    <col min="10755" max="10755" width="14.6640625" style="13" customWidth="1"/>
    <col min="10756" max="10756" width="23.6640625" style="13" bestFit="1" customWidth="1"/>
    <col min="10757" max="10757" width="11.88671875" style="13" customWidth="1"/>
    <col min="10758" max="10758" width="20.6640625" style="13" customWidth="1"/>
    <col min="10759" max="10759" width="15.6640625" style="13" customWidth="1"/>
    <col min="10760" max="10761" width="16.109375" style="13" bestFit="1" customWidth="1"/>
    <col min="10762" max="10762" width="13.6640625" style="13" customWidth="1"/>
    <col min="10763" max="10763" width="12.6640625" style="13" bestFit="1" customWidth="1"/>
    <col min="10764" max="10764" width="15.5546875" style="13" customWidth="1"/>
    <col min="10765" max="10765" width="16.109375" style="13" bestFit="1" customWidth="1"/>
    <col min="10766" max="10766" width="13.33203125" style="13" bestFit="1" customWidth="1"/>
    <col min="10767" max="10767" width="16.33203125" style="13" bestFit="1" customWidth="1"/>
    <col min="10768" max="10768" width="9.33203125" style="13" bestFit="1" customWidth="1"/>
    <col min="10769" max="10769" width="13" style="13" bestFit="1" customWidth="1"/>
    <col min="10770" max="10770" width="20.109375" style="13" bestFit="1" customWidth="1"/>
    <col min="10771" max="10771" width="50.33203125" style="13" bestFit="1" customWidth="1"/>
    <col min="10772" max="10772" width="16.109375" style="13" bestFit="1" customWidth="1"/>
    <col min="10773" max="10773" width="12.33203125" style="13" customWidth="1"/>
    <col min="10774" max="10774" width="18.88671875" style="13" bestFit="1" customWidth="1"/>
    <col min="10775" max="10775" width="16.6640625" style="13" customWidth="1"/>
    <col min="10776" max="10776" width="19" style="13" bestFit="1" customWidth="1"/>
    <col min="10777" max="10777" width="9.109375" style="13"/>
    <col min="10778" max="10778" width="18.88671875" style="13" bestFit="1" customWidth="1"/>
    <col min="10779" max="11008" width="9.109375" style="13"/>
    <col min="11009" max="11009" width="10.5546875" style="13" bestFit="1" customWidth="1"/>
    <col min="11010" max="11010" width="44.109375" style="13" customWidth="1"/>
    <col min="11011" max="11011" width="14.6640625" style="13" customWidth="1"/>
    <col min="11012" max="11012" width="23.6640625" style="13" bestFit="1" customWidth="1"/>
    <col min="11013" max="11013" width="11.88671875" style="13" customWidth="1"/>
    <col min="11014" max="11014" width="20.6640625" style="13" customWidth="1"/>
    <col min="11015" max="11015" width="15.6640625" style="13" customWidth="1"/>
    <col min="11016" max="11017" width="16.109375" style="13" bestFit="1" customWidth="1"/>
    <col min="11018" max="11018" width="13.6640625" style="13" customWidth="1"/>
    <col min="11019" max="11019" width="12.6640625" style="13" bestFit="1" customWidth="1"/>
    <col min="11020" max="11020" width="15.5546875" style="13" customWidth="1"/>
    <col min="11021" max="11021" width="16.109375" style="13" bestFit="1" customWidth="1"/>
    <col min="11022" max="11022" width="13.33203125" style="13" bestFit="1" customWidth="1"/>
    <col min="11023" max="11023" width="16.33203125" style="13" bestFit="1" customWidth="1"/>
    <col min="11024" max="11024" width="9.33203125" style="13" bestFit="1" customWidth="1"/>
    <col min="11025" max="11025" width="13" style="13" bestFit="1" customWidth="1"/>
    <col min="11026" max="11026" width="20.109375" style="13" bestFit="1" customWidth="1"/>
    <col min="11027" max="11027" width="50.33203125" style="13" bestFit="1" customWidth="1"/>
    <col min="11028" max="11028" width="16.109375" style="13" bestFit="1" customWidth="1"/>
    <col min="11029" max="11029" width="12.33203125" style="13" customWidth="1"/>
    <col min="11030" max="11030" width="18.88671875" style="13" bestFit="1" customWidth="1"/>
    <col min="11031" max="11031" width="16.6640625" style="13" customWidth="1"/>
    <col min="11032" max="11032" width="19" style="13" bestFit="1" customWidth="1"/>
    <col min="11033" max="11033" width="9.109375" style="13"/>
    <col min="11034" max="11034" width="18.88671875" style="13" bestFit="1" customWidth="1"/>
    <col min="11035" max="11264" width="9.109375" style="13"/>
    <col min="11265" max="11265" width="10.5546875" style="13" bestFit="1" customWidth="1"/>
    <col min="11266" max="11266" width="44.109375" style="13" customWidth="1"/>
    <col min="11267" max="11267" width="14.6640625" style="13" customWidth="1"/>
    <col min="11268" max="11268" width="23.6640625" style="13" bestFit="1" customWidth="1"/>
    <col min="11269" max="11269" width="11.88671875" style="13" customWidth="1"/>
    <col min="11270" max="11270" width="20.6640625" style="13" customWidth="1"/>
    <col min="11271" max="11271" width="15.6640625" style="13" customWidth="1"/>
    <col min="11272" max="11273" width="16.109375" style="13" bestFit="1" customWidth="1"/>
    <col min="11274" max="11274" width="13.6640625" style="13" customWidth="1"/>
    <col min="11275" max="11275" width="12.6640625" style="13" bestFit="1" customWidth="1"/>
    <col min="11276" max="11276" width="15.5546875" style="13" customWidth="1"/>
    <col min="11277" max="11277" width="16.109375" style="13" bestFit="1" customWidth="1"/>
    <col min="11278" max="11278" width="13.33203125" style="13" bestFit="1" customWidth="1"/>
    <col min="11279" max="11279" width="16.33203125" style="13" bestFit="1" customWidth="1"/>
    <col min="11280" max="11280" width="9.33203125" style="13" bestFit="1" customWidth="1"/>
    <col min="11281" max="11281" width="13" style="13" bestFit="1" customWidth="1"/>
    <col min="11282" max="11282" width="20.109375" style="13" bestFit="1" customWidth="1"/>
    <col min="11283" max="11283" width="50.33203125" style="13" bestFit="1" customWidth="1"/>
    <col min="11284" max="11284" width="16.109375" style="13" bestFit="1" customWidth="1"/>
    <col min="11285" max="11285" width="12.33203125" style="13" customWidth="1"/>
    <col min="11286" max="11286" width="18.88671875" style="13" bestFit="1" customWidth="1"/>
    <col min="11287" max="11287" width="16.6640625" style="13" customWidth="1"/>
    <col min="11288" max="11288" width="19" style="13" bestFit="1" customWidth="1"/>
    <col min="11289" max="11289" width="9.109375" style="13"/>
    <col min="11290" max="11290" width="18.88671875" style="13" bestFit="1" customWidth="1"/>
    <col min="11291" max="11520" width="9.109375" style="13"/>
    <col min="11521" max="11521" width="10.5546875" style="13" bestFit="1" customWidth="1"/>
    <col min="11522" max="11522" width="44.109375" style="13" customWidth="1"/>
    <col min="11523" max="11523" width="14.6640625" style="13" customWidth="1"/>
    <col min="11524" max="11524" width="23.6640625" style="13" bestFit="1" customWidth="1"/>
    <col min="11525" max="11525" width="11.88671875" style="13" customWidth="1"/>
    <col min="11526" max="11526" width="20.6640625" style="13" customWidth="1"/>
    <col min="11527" max="11527" width="15.6640625" style="13" customWidth="1"/>
    <col min="11528" max="11529" width="16.109375" style="13" bestFit="1" customWidth="1"/>
    <col min="11530" max="11530" width="13.6640625" style="13" customWidth="1"/>
    <col min="11531" max="11531" width="12.6640625" style="13" bestFit="1" customWidth="1"/>
    <col min="11532" max="11532" width="15.5546875" style="13" customWidth="1"/>
    <col min="11533" max="11533" width="16.109375" style="13" bestFit="1" customWidth="1"/>
    <col min="11534" max="11534" width="13.33203125" style="13" bestFit="1" customWidth="1"/>
    <col min="11535" max="11535" width="16.33203125" style="13" bestFit="1" customWidth="1"/>
    <col min="11536" max="11536" width="9.33203125" style="13" bestFit="1" customWidth="1"/>
    <col min="11537" max="11537" width="13" style="13" bestFit="1" customWidth="1"/>
    <col min="11538" max="11538" width="20.109375" style="13" bestFit="1" customWidth="1"/>
    <col min="11539" max="11539" width="50.33203125" style="13" bestFit="1" customWidth="1"/>
    <col min="11540" max="11540" width="16.109375" style="13" bestFit="1" customWidth="1"/>
    <col min="11541" max="11541" width="12.33203125" style="13" customWidth="1"/>
    <col min="11542" max="11542" width="18.88671875" style="13" bestFit="1" customWidth="1"/>
    <col min="11543" max="11543" width="16.6640625" style="13" customWidth="1"/>
    <col min="11544" max="11544" width="19" style="13" bestFit="1" customWidth="1"/>
    <col min="11545" max="11545" width="9.109375" style="13"/>
    <col min="11546" max="11546" width="18.88671875" style="13" bestFit="1" customWidth="1"/>
    <col min="11547" max="11776" width="9.109375" style="13"/>
    <col min="11777" max="11777" width="10.5546875" style="13" bestFit="1" customWidth="1"/>
    <col min="11778" max="11778" width="44.109375" style="13" customWidth="1"/>
    <col min="11779" max="11779" width="14.6640625" style="13" customWidth="1"/>
    <col min="11780" max="11780" width="23.6640625" style="13" bestFit="1" customWidth="1"/>
    <col min="11781" max="11781" width="11.88671875" style="13" customWidth="1"/>
    <col min="11782" max="11782" width="20.6640625" style="13" customWidth="1"/>
    <col min="11783" max="11783" width="15.6640625" style="13" customWidth="1"/>
    <col min="11784" max="11785" width="16.109375" style="13" bestFit="1" customWidth="1"/>
    <col min="11786" max="11786" width="13.6640625" style="13" customWidth="1"/>
    <col min="11787" max="11787" width="12.6640625" style="13" bestFit="1" customWidth="1"/>
    <col min="11788" max="11788" width="15.5546875" style="13" customWidth="1"/>
    <col min="11789" max="11789" width="16.109375" style="13" bestFit="1" customWidth="1"/>
    <col min="11790" max="11790" width="13.33203125" style="13" bestFit="1" customWidth="1"/>
    <col min="11791" max="11791" width="16.33203125" style="13" bestFit="1" customWidth="1"/>
    <col min="11792" max="11792" width="9.33203125" style="13" bestFit="1" customWidth="1"/>
    <col min="11793" max="11793" width="13" style="13" bestFit="1" customWidth="1"/>
    <col min="11794" max="11794" width="20.109375" style="13" bestFit="1" customWidth="1"/>
    <col min="11795" max="11795" width="50.33203125" style="13" bestFit="1" customWidth="1"/>
    <col min="11796" max="11796" width="16.109375" style="13" bestFit="1" customWidth="1"/>
    <col min="11797" max="11797" width="12.33203125" style="13" customWidth="1"/>
    <col min="11798" max="11798" width="18.88671875" style="13" bestFit="1" customWidth="1"/>
    <col min="11799" max="11799" width="16.6640625" style="13" customWidth="1"/>
    <col min="11800" max="11800" width="19" style="13" bestFit="1" customWidth="1"/>
    <col min="11801" max="11801" width="9.109375" style="13"/>
    <col min="11802" max="11802" width="18.88671875" style="13" bestFit="1" customWidth="1"/>
    <col min="11803" max="12032" width="9.109375" style="13"/>
    <col min="12033" max="12033" width="10.5546875" style="13" bestFit="1" customWidth="1"/>
    <col min="12034" max="12034" width="44.109375" style="13" customWidth="1"/>
    <col min="12035" max="12035" width="14.6640625" style="13" customWidth="1"/>
    <col min="12036" max="12036" width="23.6640625" style="13" bestFit="1" customWidth="1"/>
    <col min="12037" max="12037" width="11.88671875" style="13" customWidth="1"/>
    <col min="12038" max="12038" width="20.6640625" style="13" customWidth="1"/>
    <col min="12039" max="12039" width="15.6640625" style="13" customWidth="1"/>
    <col min="12040" max="12041" width="16.109375" style="13" bestFit="1" customWidth="1"/>
    <col min="12042" max="12042" width="13.6640625" style="13" customWidth="1"/>
    <col min="12043" max="12043" width="12.6640625" style="13" bestFit="1" customWidth="1"/>
    <col min="12044" max="12044" width="15.5546875" style="13" customWidth="1"/>
    <col min="12045" max="12045" width="16.109375" style="13" bestFit="1" customWidth="1"/>
    <col min="12046" max="12046" width="13.33203125" style="13" bestFit="1" customWidth="1"/>
    <col min="12047" max="12047" width="16.33203125" style="13" bestFit="1" customWidth="1"/>
    <col min="12048" max="12048" width="9.33203125" style="13" bestFit="1" customWidth="1"/>
    <col min="12049" max="12049" width="13" style="13" bestFit="1" customWidth="1"/>
    <col min="12050" max="12050" width="20.109375" style="13" bestFit="1" customWidth="1"/>
    <col min="12051" max="12051" width="50.33203125" style="13" bestFit="1" customWidth="1"/>
    <col min="12052" max="12052" width="16.109375" style="13" bestFit="1" customWidth="1"/>
    <col min="12053" max="12053" width="12.33203125" style="13" customWidth="1"/>
    <col min="12054" max="12054" width="18.88671875" style="13" bestFit="1" customWidth="1"/>
    <col min="12055" max="12055" width="16.6640625" style="13" customWidth="1"/>
    <col min="12056" max="12056" width="19" style="13" bestFit="1" customWidth="1"/>
    <col min="12057" max="12057" width="9.109375" style="13"/>
    <col min="12058" max="12058" width="18.88671875" style="13" bestFit="1" customWidth="1"/>
    <col min="12059" max="12288" width="9.109375" style="13"/>
    <col min="12289" max="12289" width="10.5546875" style="13" bestFit="1" customWidth="1"/>
    <col min="12290" max="12290" width="44.109375" style="13" customWidth="1"/>
    <col min="12291" max="12291" width="14.6640625" style="13" customWidth="1"/>
    <col min="12292" max="12292" width="23.6640625" style="13" bestFit="1" customWidth="1"/>
    <col min="12293" max="12293" width="11.88671875" style="13" customWidth="1"/>
    <col min="12294" max="12294" width="20.6640625" style="13" customWidth="1"/>
    <col min="12295" max="12295" width="15.6640625" style="13" customWidth="1"/>
    <col min="12296" max="12297" width="16.109375" style="13" bestFit="1" customWidth="1"/>
    <col min="12298" max="12298" width="13.6640625" style="13" customWidth="1"/>
    <col min="12299" max="12299" width="12.6640625" style="13" bestFit="1" customWidth="1"/>
    <col min="12300" max="12300" width="15.5546875" style="13" customWidth="1"/>
    <col min="12301" max="12301" width="16.109375" style="13" bestFit="1" customWidth="1"/>
    <col min="12302" max="12302" width="13.33203125" style="13" bestFit="1" customWidth="1"/>
    <col min="12303" max="12303" width="16.33203125" style="13" bestFit="1" customWidth="1"/>
    <col min="12304" max="12304" width="9.33203125" style="13" bestFit="1" customWidth="1"/>
    <col min="12305" max="12305" width="13" style="13" bestFit="1" customWidth="1"/>
    <col min="12306" max="12306" width="20.109375" style="13" bestFit="1" customWidth="1"/>
    <col min="12307" max="12307" width="50.33203125" style="13" bestFit="1" customWidth="1"/>
    <col min="12308" max="12308" width="16.109375" style="13" bestFit="1" customWidth="1"/>
    <col min="12309" max="12309" width="12.33203125" style="13" customWidth="1"/>
    <col min="12310" max="12310" width="18.88671875" style="13" bestFit="1" customWidth="1"/>
    <col min="12311" max="12311" width="16.6640625" style="13" customWidth="1"/>
    <col min="12312" max="12312" width="19" style="13" bestFit="1" customWidth="1"/>
    <col min="12313" max="12313" width="9.109375" style="13"/>
    <col min="12314" max="12314" width="18.88671875" style="13" bestFit="1" customWidth="1"/>
    <col min="12315" max="12544" width="9.109375" style="13"/>
    <col min="12545" max="12545" width="10.5546875" style="13" bestFit="1" customWidth="1"/>
    <col min="12546" max="12546" width="44.109375" style="13" customWidth="1"/>
    <col min="12547" max="12547" width="14.6640625" style="13" customWidth="1"/>
    <col min="12548" max="12548" width="23.6640625" style="13" bestFit="1" customWidth="1"/>
    <col min="12549" max="12549" width="11.88671875" style="13" customWidth="1"/>
    <col min="12550" max="12550" width="20.6640625" style="13" customWidth="1"/>
    <col min="12551" max="12551" width="15.6640625" style="13" customWidth="1"/>
    <col min="12552" max="12553" width="16.109375" style="13" bestFit="1" customWidth="1"/>
    <col min="12554" max="12554" width="13.6640625" style="13" customWidth="1"/>
    <col min="12555" max="12555" width="12.6640625" style="13" bestFit="1" customWidth="1"/>
    <col min="12556" max="12556" width="15.5546875" style="13" customWidth="1"/>
    <col min="12557" max="12557" width="16.109375" style="13" bestFit="1" customWidth="1"/>
    <col min="12558" max="12558" width="13.33203125" style="13" bestFit="1" customWidth="1"/>
    <col min="12559" max="12559" width="16.33203125" style="13" bestFit="1" customWidth="1"/>
    <col min="12560" max="12560" width="9.33203125" style="13" bestFit="1" customWidth="1"/>
    <col min="12561" max="12561" width="13" style="13" bestFit="1" customWidth="1"/>
    <col min="12562" max="12562" width="20.109375" style="13" bestFit="1" customWidth="1"/>
    <col min="12563" max="12563" width="50.33203125" style="13" bestFit="1" customWidth="1"/>
    <col min="12564" max="12564" width="16.109375" style="13" bestFit="1" customWidth="1"/>
    <col min="12565" max="12565" width="12.33203125" style="13" customWidth="1"/>
    <col min="12566" max="12566" width="18.88671875" style="13" bestFit="1" customWidth="1"/>
    <col min="12567" max="12567" width="16.6640625" style="13" customWidth="1"/>
    <col min="12568" max="12568" width="19" style="13" bestFit="1" customWidth="1"/>
    <col min="12569" max="12569" width="9.109375" style="13"/>
    <col min="12570" max="12570" width="18.88671875" style="13" bestFit="1" customWidth="1"/>
    <col min="12571" max="12800" width="9.109375" style="13"/>
    <col min="12801" max="12801" width="10.5546875" style="13" bestFit="1" customWidth="1"/>
    <col min="12802" max="12802" width="44.109375" style="13" customWidth="1"/>
    <col min="12803" max="12803" width="14.6640625" style="13" customWidth="1"/>
    <col min="12804" max="12804" width="23.6640625" style="13" bestFit="1" customWidth="1"/>
    <col min="12805" max="12805" width="11.88671875" style="13" customWidth="1"/>
    <col min="12806" max="12806" width="20.6640625" style="13" customWidth="1"/>
    <col min="12807" max="12807" width="15.6640625" style="13" customWidth="1"/>
    <col min="12808" max="12809" width="16.109375" style="13" bestFit="1" customWidth="1"/>
    <col min="12810" max="12810" width="13.6640625" style="13" customWidth="1"/>
    <col min="12811" max="12811" width="12.6640625" style="13" bestFit="1" customWidth="1"/>
    <col min="12812" max="12812" width="15.5546875" style="13" customWidth="1"/>
    <col min="12813" max="12813" width="16.109375" style="13" bestFit="1" customWidth="1"/>
    <col min="12814" max="12814" width="13.33203125" style="13" bestFit="1" customWidth="1"/>
    <col min="12815" max="12815" width="16.33203125" style="13" bestFit="1" customWidth="1"/>
    <col min="12816" max="12816" width="9.33203125" style="13" bestFit="1" customWidth="1"/>
    <col min="12817" max="12817" width="13" style="13" bestFit="1" customWidth="1"/>
    <col min="12818" max="12818" width="20.109375" style="13" bestFit="1" customWidth="1"/>
    <col min="12819" max="12819" width="50.33203125" style="13" bestFit="1" customWidth="1"/>
    <col min="12820" max="12820" width="16.109375" style="13" bestFit="1" customWidth="1"/>
    <col min="12821" max="12821" width="12.33203125" style="13" customWidth="1"/>
    <col min="12822" max="12822" width="18.88671875" style="13" bestFit="1" customWidth="1"/>
    <col min="12823" max="12823" width="16.6640625" style="13" customWidth="1"/>
    <col min="12824" max="12824" width="19" style="13" bestFit="1" customWidth="1"/>
    <col min="12825" max="12825" width="9.109375" style="13"/>
    <col min="12826" max="12826" width="18.88671875" style="13" bestFit="1" customWidth="1"/>
    <col min="12827" max="13056" width="9.109375" style="13"/>
    <col min="13057" max="13057" width="10.5546875" style="13" bestFit="1" customWidth="1"/>
    <col min="13058" max="13058" width="44.109375" style="13" customWidth="1"/>
    <col min="13059" max="13059" width="14.6640625" style="13" customWidth="1"/>
    <col min="13060" max="13060" width="23.6640625" style="13" bestFit="1" customWidth="1"/>
    <col min="13061" max="13061" width="11.88671875" style="13" customWidth="1"/>
    <col min="13062" max="13062" width="20.6640625" style="13" customWidth="1"/>
    <col min="13063" max="13063" width="15.6640625" style="13" customWidth="1"/>
    <col min="13064" max="13065" width="16.109375" style="13" bestFit="1" customWidth="1"/>
    <col min="13066" max="13066" width="13.6640625" style="13" customWidth="1"/>
    <col min="13067" max="13067" width="12.6640625" style="13" bestFit="1" customWidth="1"/>
    <col min="13068" max="13068" width="15.5546875" style="13" customWidth="1"/>
    <col min="13069" max="13069" width="16.109375" style="13" bestFit="1" customWidth="1"/>
    <col min="13070" max="13070" width="13.33203125" style="13" bestFit="1" customWidth="1"/>
    <col min="13071" max="13071" width="16.33203125" style="13" bestFit="1" customWidth="1"/>
    <col min="13072" max="13072" width="9.33203125" style="13" bestFit="1" customWidth="1"/>
    <col min="13073" max="13073" width="13" style="13" bestFit="1" customWidth="1"/>
    <col min="13074" max="13074" width="20.109375" style="13" bestFit="1" customWidth="1"/>
    <col min="13075" max="13075" width="50.33203125" style="13" bestFit="1" customWidth="1"/>
    <col min="13076" max="13076" width="16.109375" style="13" bestFit="1" customWidth="1"/>
    <col min="13077" max="13077" width="12.33203125" style="13" customWidth="1"/>
    <col min="13078" max="13078" width="18.88671875" style="13" bestFit="1" customWidth="1"/>
    <col min="13079" max="13079" width="16.6640625" style="13" customWidth="1"/>
    <col min="13080" max="13080" width="19" style="13" bestFit="1" customWidth="1"/>
    <col min="13081" max="13081" width="9.109375" style="13"/>
    <col min="13082" max="13082" width="18.88671875" style="13" bestFit="1" customWidth="1"/>
    <col min="13083" max="13312" width="9.109375" style="13"/>
    <col min="13313" max="13313" width="10.5546875" style="13" bestFit="1" customWidth="1"/>
    <col min="13314" max="13314" width="44.109375" style="13" customWidth="1"/>
    <col min="13315" max="13315" width="14.6640625" style="13" customWidth="1"/>
    <col min="13316" max="13316" width="23.6640625" style="13" bestFit="1" customWidth="1"/>
    <col min="13317" max="13317" width="11.88671875" style="13" customWidth="1"/>
    <col min="13318" max="13318" width="20.6640625" style="13" customWidth="1"/>
    <col min="13319" max="13319" width="15.6640625" style="13" customWidth="1"/>
    <col min="13320" max="13321" width="16.109375" style="13" bestFit="1" customWidth="1"/>
    <col min="13322" max="13322" width="13.6640625" style="13" customWidth="1"/>
    <col min="13323" max="13323" width="12.6640625" style="13" bestFit="1" customWidth="1"/>
    <col min="13324" max="13324" width="15.5546875" style="13" customWidth="1"/>
    <col min="13325" max="13325" width="16.109375" style="13" bestFit="1" customWidth="1"/>
    <col min="13326" max="13326" width="13.33203125" style="13" bestFit="1" customWidth="1"/>
    <col min="13327" max="13327" width="16.33203125" style="13" bestFit="1" customWidth="1"/>
    <col min="13328" max="13328" width="9.33203125" style="13" bestFit="1" customWidth="1"/>
    <col min="13329" max="13329" width="13" style="13" bestFit="1" customWidth="1"/>
    <col min="13330" max="13330" width="20.109375" style="13" bestFit="1" customWidth="1"/>
    <col min="13331" max="13331" width="50.33203125" style="13" bestFit="1" customWidth="1"/>
    <col min="13332" max="13332" width="16.109375" style="13" bestFit="1" customWidth="1"/>
    <col min="13333" max="13333" width="12.33203125" style="13" customWidth="1"/>
    <col min="13334" max="13334" width="18.88671875" style="13" bestFit="1" customWidth="1"/>
    <col min="13335" max="13335" width="16.6640625" style="13" customWidth="1"/>
    <col min="13336" max="13336" width="19" style="13" bestFit="1" customWidth="1"/>
    <col min="13337" max="13337" width="9.109375" style="13"/>
    <col min="13338" max="13338" width="18.88671875" style="13" bestFit="1" customWidth="1"/>
    <col min="13339" max="13568" width="9.109375" style="13"/>
    <col min="13569" max="13569" width="10.5546875" style="13" bestFit="1" customWidth="1"/>
    <col min="13570" max="13570" width="44.109375" style="13" customWidth="1"/>
    <col min="13571" max="13571" width="14.6640625" style="13" customWidth="1"/>
    <col min="13572" max="13572" width="23.6640625" style="13" bestFit="1" customWidth="1"/>
    <col min="13573" max="13573" width="11.88671875" style="13" customWidth="1"/>
    <col min="13574" max="13574" width="20.6640625" style="13" customWidth="1"/>
    <col min="13575" max="13575" width="15.6640625" style="13" customWidth="1"/>
    <col min="13576" max="13577" width="16.109375" style="13" bestFit="1" customWidth="1"/>
    <col min="13578" max="13578" width="13.6640625" style="13" customWidth="1"/>
    <col min="13579" max="13579" width="12.6640625" style="13" bestFit="1" customWidth="1"/>
    <col min="13580" max="13580" width="15.5546875" style="13" customWidth="1"/>
    <col min="13581" max="13581" width="16.109375" style="13" bestFit="1" customWidth="1"/>
    <col min="13582" max="13582" width="13.33203125" style="13" bestFit="1" customWidth="1"/>
    <col min="13583" max="13583" width="16.33203125" style="13" bestFit="1" customWidth="1"/>
    <col min="13584" max="13584" width="9.33203125" style="13" bestFit="1" customWidth="1"/>
    <col min="13585" max="13585" width="13" style="13" bestFit="1" customWidth="1"/>
    <col min="13586" max="13586" width="20.109375" style="13" bestFit="1" customWidth="1"/>
    <col min="13587" max="13587" width="50.33203125" style="13" bestFit="1" customWidth="1"/>
    <col min="13588" max="13588" width="16.109375" style="13" bestFit="1" customWidth="1"/>
    <col min="13589" max="13589" width="12.33203125" style="13" customWidth="1"/>
    <col min="13590" max="13590" width="18.88671875" style="13" bestFit="1" customWidth="1"/>
    <col min="13591" max="13591" width="16.6640625" style="13" customWidth="1"/>
    <col min="13592" max="13592" width="19" style="13" bestFit="1" customWidth="1"/>
    <col min="13593" max="13593" width="9.109375" style="13"/>
    <col min="13594" max="13594" width="18.88671875" style="13" bestFit="1" customWidth="1"/>
    <col min="13595" max="13824" width="9.109375" style="13"/>
    <col min="13825" max="13825" width="10.5546875" style="13" bestFit="1" customWidth="1"/>
    <col min="13826" max="13826" width="44.109375" style="13" customWidth="1"/>
    <col min="13827" max="13827" width="14.6640625" style="13" customWidth="1"/>
    <col min="13828" max="13828" width="23.6640625" style="13" bestFit="1" customWidth="1"/>
    <col min="13829" max="13829" width="11.88671875" style="13" customWidth="1"/>
    <col min="13830" max="13830" width="20.6640625" style="13" customWidth="1"/>
    <col min="13831" max="13831" width="15.6640625" style="13" customWidth="1"/>
    <col min="13832" max="13833" width="16.109375" style="13" bestFit="1" customWidth="1"/>
    <col min="13834" max="13834" width="13.6640625" style="13" customWidth="1"/>
    <col min="13835" max="13835" width="12.6640625" style="13" bestFit="1" customWidth="1"/>
    <col min="13836" max="13836" width="15.5546875" style="13" customWidth="1"/>
    <col min="13837" max="13837" width="16.109375" style="13" bestFit="1" customWidth="1"/>
    <col min="13838" max="13838" width="13.33203125" style="13" bestFit="1" customWidth="1"/>
    <col min="13839" max="13839" width="16.33203125" style="13" bestFit="1" customWidth="1"/>
    <col min="13840" max="13840" width="9.33203125" style="13" bestFit="1" customWidth="1"/>
    <col min="13841" max="13841" width="13" style="13" bestFit="1" customWidth="1"/>
    <col min="13842" max="13842" width="20.109375" style="13" bestFit="1" customWidth="1"/>
    <col min="13843" max="13843" width="50.33203125" style="13" bestFit="1" customWidth="1"/>
    <col min="13844" max="13844" width="16.109375" style="13" bestFit="1" customWidth="1"/>
    <col min="13845" max="13845" width="12.33203125" style="13" customWidth="1"/>
    <col min="13846" max="13846" width="18.88671875" style="13" bestFit="1" customWidth="1"/>
    <col min="13847" max="13847" width="16.6640625" style="13" customWidth="1"/>
    <col min="13848" max="13848" width="19" style="13" bestFit="1" customWidth="1"/>
    <col min="13849" max="13849" width="9.109375" style="13"/>
    <col min="13850" max="13850" width="18.88671875" style="13" bestFit="1" customWidth="1"/>
    <col min="13851" max="14080" width="9.109375" style="13"/>
    <col min="14081" max="14081" width="10.5546875" style="13" bestFit="1" customWidth="1"/>
    <col min="14082" max="14082" width="44.109375" style="13" customWidth="1"/>
    <col min="14083" max="14083" width="14.6640625" style="13" customWidth="1"/>
    <col min="14084" max="14084" width="23.6640625" style="13" bestFit="1" customWidth="1"/>
    <col min="14085" max="14085" width="11.88671875" style="13" customWidth="1"/>
    <col min="14086" max="14086" width="20.6640625" style="13" customWidth="1"/>
    <col min="14087" max="14087" width="15.6640625" style="13" customWidth="1"/>
    <col min="14088" max="14089" width="16.109375" style="13" bestFit="1" customWidth="1"/>
    <col min="14090" max="14090" width="13.6640625" style="13" customWidth="1"/>
    <col min="14091" max="14091" width="12.6640625" style="13" bestFit="1" customWidth="1"/>
    <col min="14092" max="14092" width="15.5546875" style="13" customWidth="1"/>
    <col min="14093" max="14093" width="16.109375" style="13" bestFit="1" customWidth="1"/>
    <col min="14094" max="14094" width="13.33203125" style="13" bestFit="1" customWidth="1"/>
    <col min="14095" max="14095" width="16.33203125" style="13" bestFit="1" customWidth="1"/>
    <col min="14096" max="14096" width="9.33203125" style="13" bestFit="1" customWidth="1"/>
    <col min="14097" max="14097" width="13" style="13" bestFit="1" customWidth="1"/>
    <col min="14098" max="14098" width="20.109375" style="13" bestFit="1" customWidth="1"/>
    <col min="14099" max="14099" width="50.33203125" style="13" bestFit="1" customWidth="1"/>
    <col min="14100" max="14100" width="16.109375" style="13" bestFit="1" customWidth="1"/>
    <col min="14101" max="14101" width="12.33203125" style="13" customWidth="1"/>
    <col min="14102" max="14102" width="18.88671875" style="13" bestFit="1" customWidth="1"/>
    <col min="14103" max="14103" width="16.6640625" style="13" customWidth="1"/>
    <col min="14104" max="14104" width="19" style="13" bestFit="1" customWidth="1"/>
    <col min="14105" max="14105" width="9.109375" style="13"/>
    <col min="14106" max="14106" width="18.88671875" style="13" bestFit="1" customWidth="1"/>
    <col min="14107" max="14336" width="9.109375" style="13"/>
    <col min="14337" max="14337" width="10.5546875" style="13" bestFit="1" customWidth="1"/>
    <col min="14338" max="14338" width="44.109375" style="13" customWidth="1"/>
    <col min="14339" max="14339" width="14.6640625" style="13" customWidth="1"/>
    <col min="14340" max="14340" width="23.6640625" style="13" bestFit="1" customWidth="1"/>
    <col min="14341" max="14341" width="11.88671875" style="13" customWidth="1"/>
    <col min="14342" max="14342" width="20.6640625" style="13" customWidth="1"/>
    <col min="14343" max="14343" width="15.6640625" style="13" customWidth="1"/>
    <col min="14344" max="14345" width="16.109375" style="13" bestFit="1" customWidth="1"/>
    <col min="14346" max="14346" width="13.6640625" style="13" customWidth="1"/>
    <col min="14347" max="14347" width="12.6640625" style="13" bestFit="1" customWidth="1"/>
    <col min="14348" max="14348" width="15.5546875" style="13" customWidth="1"/>
    <col min="14349" max="14349" width="16.109375" style="13" bestFit="1" customWidth="1"/>
    <col min="14350" max="14350" width="13.33203125" style="13" bestFit="1" customWidth="1"/>
    <col min="14351" max="14351" width="16.33203125" style="13" bestFit="1" customWidth="1"/>
    <col min="14352" max="14352" width="9.33203125" style="13" bestFit="1" customWidth="1"/>
    <col min="14353" max="14353" width="13" style="13" bestFit="1" customWidth="1"/>
    <col min="14354" max="14354" width="20.109375" style="13" bestFit="1" customWidth="1"/>
    <col min="14355" max="14355" width="50.33203125" style="13" bestFit="1" customWidth="1"/>
    <col min="14356" max="14356" width="16.109375" style="13" bestFit="1" customWidth="1"/>
    <col min="14357" max="14357" width="12.33203125" style="13" customWidth="1"/>
    <col min="14358" max="14358" width="18.88671875" style="13" bestFit="1" customWidth="1"/>
    <col min="14359" max="14359" width="16.6640625" style="13" customWidth="1"/>
    <col min="14360" max="14360" width="19" style="13" bestFit="1" customWidth="1"/>
    <col min="14361" max="14361" width="9.109375" style="13"/>
    <col min="14362" max="14362" width="18.88671875" style="13" bestFit="1" customWidth="1"/>
    <col min="14363" max="14592" width="9.109375" style="13"/>
    <col min="14593" max="14593" width="10.5546875" style="13" bestFit="1" customWidth="1"/>
    <col min="14594" max="14594" width="44.109375" style="13" customWidth="1"/>
    <col min="14595" max="14595" width="14.6640625" style="13" customWidth="1"/>
    <col min="14596" max="14596" width="23.6640625" style="13" bestFit="1" customWidth="1"/>
    <col min="14597" max="14597" width="11.88671875" style="13" customWidth="1"/>
    <col min="14598" max="14598" width="20.6640625" style="13" customWidth="1"/>
    <col min="14599" max="14599" width="15.6640625" style="13" customWidth="1"/>
    <col min="14600" max="14601" width="16.109375" style="13" bestFit="1" customWidth="1"/>
    <col min="14602" max="14602" width="13.6640625" style="13" customWidth="1"/>
    <col min="14603" max="14603" width="12.6640625" style="13" bestFit="1" customWidth="1"/>
    <col min="14604" max="14604" width="15.5546875" style="13" customWidth="1"/>
    <col min="14605" max="14605" width="16.109375" style="13" bestFit="1" customWidth="1"/>
    <col min="14606" max="14606" width="13.33203125" style="13" bestFit="1" customWidth="1"/>
    <col min="14607" max="14607" width="16.33203125" style="13" bestFit="1" customWidth="1"/>
    <col min="14608" max="14608" width="9.33203125" style="13" bestFit="1" customWidth="1"/>
    <col min="14609" max="14609" width="13" style="13" bestFit="1" customWidth="1"/>
    <col min="14610" max="14610" width="20.109375" style="13" bestFit="1" customWidth="1"/>
    <col min="14611" max="14611" width="50.33203125" style="13" bestFit="1" customWidth="1"/>
    <col min="14612" max="14612" width="16.109375" style="13" bestFit="1" customWidth="1"/>
    <col min="14613" max="14613" width="12.33203125" style="13" customWidth="1"/>
    <col min="14614" max="14614" width="18.88671875" style="13" bestFit="1" customWidth="1"/>
    <col min="14615" max="14615" width="16.6640625" style="13" customWidth="1"/>
    <col min="14616" max="14616" width="19" style="13" bestFit="1" customWidth="1"/>
    <col min="14617" max="14617" width="9.109375" style="13"/>
    <col min="14618" max="14618" width="18.88671875" style="13" bestFit="1" customWidth="1"/>
    <col min="14619" max="14848" width="9.109375" style="13"/>
    <col min="14849" max="14849" width="10.5546875" style="13" bestFit="1" customWidth="1"/>
    <col min="14850" max="14850" width="44.109375" style="13" customWidth="1"/>
    <col min="14851" max="14851" width="14.6640625" style="13" customWidth="1"/>
    <col min="14852" max="14852" width="23.6640625" style="13" bestFit="1" customWidth="1"/>
    <col min="14853" max="14853" width="11.88671875" style="13" customWidth="1"/>
    <col min="14854" max="14854" width="20.6640625" style="13" customWidth="1"/>
    <col min="14855" max="14855" width="15.6640625" style="13" customWidth="1"/>
    <col min="14856" max="14857" width="16.109375" style="13" bestFit="1" customWidth="1"/>
    <col min="14858" max="14858" width="13.6640625" style="13" customWidth="1"/>
    <col min="14859" max="14859" width="12.6640625" style="13" bestFit="1" customWidth="1"/>
    <col min="14860" max="14860" width="15.5546875" style="13" customWidth="1"/>
    <col min="14861" max="14861" width="16.109375" style="13" bestFit="1" customWidth="1"/>
    <col min="14862" max="14862" width="13.33203125" style="13" bestFit="1" customWidth="1"/>
    <col min="14863" max="14863" width="16.33203125" style="13" bestFit="1" customWidth="1"/>
    <col min="14864" max="14864" width="9.33203125" style="13" bestFit="1" customWidth="1"/>
    <col min="14865" max="14865" width="13" style="13" bestFit="1" customWidth="1"/>
    <col min="14866" max="14866" width="20.109375" style="13" bestFit="1" customWidth="1"/>
    <col min="14867" max="14867" width="50.33203125" style="13" bestFit="1" customWidth="1"/>
    <col min="14868" max="14868" width="16.109375" style="13" bestFit="1" customWidth="1"/>
    <col min="14869" max="14869" width="12.33203125" style="13" customWidth="1"/>
    <col min="14870" max="14870" width="18.88671875" style="13" bestFit="1" customWidth="1"/>
    <col min="14871" max="14871" width="16.6640625" style="13" customWidth="1"/>
    <col min="14872" max="14872" width="19" style="13" bestFit="1" customWidth="1"/>
    <col min="14873" max="14873" width="9.109375" style="13"/>
    <col min="14874" max="14874" width="18.88671875" style="13" bestFit="1" customWidth="1"/>
    <col min="14875" max="15104" width="9.109375" style="13"/>
    <col min="15105" max="15105" width="10.5546875" style="13" bestFit="1" customWidth="1"/>
    <col min="15106" max="15106" width="44.109375" style="13" customWidth="1"/>
    <col min="15107" max="15107" width="14.6640625" style="13" customWidth="1"/>
    <col min="15108" max="15108" width="23.6640625" style="13" bestFit="1" customWidth="1"/>
    <col min="15109" max="15109" width="11.88671875" style="13" customWidth="1"/>
    <col min="15110" max="15110" width="20.6640625" style="13" customWidth="1"/>
    <col min="15111" max="15111" width="15.6640625" style="13" customWidth="1"/>
    <col min="15112" max="15113" width="16.109375" style="13" bestFit="1" customWidth="1"/>
    <col min="15114" max="15114" width="13.6640625" style="13" customWidth="1"/>
    <col min="15115" max="15115" width="12.6640625" style="13" bestFit="1" customWidth="1"/>
    <col min="15116" max="15116" width="15.5546875" style="13" customWidth="1"/>
    <col min="15117" max="15117" width="16.109375" style="13" bestFit="1" customWidth="1"/>
    <col min="15118" max="15118" width="13.33203125" style="13" bestFit="1" customWidth="1"/>
    <col min="15119" max="15119" width="16.33203125" style="13" bestFit="1" customWidth="1"/>
    <col min="15120" max="15120" width="9.33203125" style="13" bestFit="1" customWidth="1"/>
    <col min="15121" max="15121" width="13" style="13" bestFit="1" customWidth="1"/>
    <col min="15122" max="15122" width="20.109375" style="13" bestFit="1" customWidth="1"/>
    <col min="15123" max="15123" width="50.33203125" style="13" bestFit="1" customWidth="1"/>
    <col min="15124" max="15124" width="16.109375" style="13" bestFit="1" customWidth="1"/>
    <col min="15125" max="15125" width="12.33203125" style="13" customWidth="1"/>
    <col min="15126" max="15126" width="18.88671875" style="13" bestFit="1" customWidth="1"/>
    <col min="15127" max="15127" width="16.6640625" style="13" customWidth="1"/>
    <col min="15128" max="15128" width="19" style="13" bestFit="1" customWidth="1"/>
    <col min="15129" max="15129" width="9.109375" style="13"/>
    <col min="15130" max="15130" width="18.88671875" style="13" bestFit="1" customWidth="1"/>
    <col min="15131" max="15360" width="9.109375" style="13"/>
    <col min="15361" max="15361" width="10.5546875" style="13" bestFit="1" customWidth="1"/>
    <col min="15362" max="15362" width="44.109375" style="13" customWidth="1"/>
    <col min="15363" max="15363" width="14.6640625" style="13" customWidth="1"/>
    <col min="15364" max="15364" width="23.6640625" style="13" bestFit="1" customWidth="1"/>
    <col min="15365" max="15365" width="11.88671875" style="13" customWidth="1"/>
    <col min="15366" max="15366" width="20.6640625" style="13" customWidth="1"/>
    <col min="15367" max="15367" width="15.6640625" style="13" customWidth="1"/>
    <col min="15368" max="15369" width="16.109375" style="13" bestFit="1" customWidth="1"/>
    <col min="15370" max="15370" width="13.6640625" style="13" customWidth="1"/>
    <col min="15371" max="15371" width="12.6640625" style="13" bestFit="1" customWidth="1"/>
    <col min="15372" max="15372" width="15.5546875" style="13" customWidth="1"/>
    <col min="15373" max="15373" width="16.109375" style="13" bestFit="1" customWidth="1"/>
    <col min="15374" max="15374" width="13.33203125" style="13" bestFit="1" customWidth="1"/>
    <col min="15375" max="15375" width="16.33203125" style="13" bestFit="1" customWidth="1"/>
    <col min="15376" max="15376" width="9.33203125" style="13" bestFit="1" customWidth="1"/>
    <col min="15377" max="15377" width="13" style="13" bestFit="1" customWidth="1"/>
    <col min="15378" max="15378" width="20.109375" style="13" bestFit="1" customWidth="1"/>
    <col min="15379" max="15379" width="50.33203125" style="13" bestFit="1" customWidth="1"/>
    <col min="15380" max="15380" width="16.109375" style="13" bestFit="1" customWidth="1"/>
    <col min="15381" max="15381" width="12.33203125" style="13" customWidth="1"/>
    <col min="15382" max="15382" width="18.88671875" style="13" bestFit="1" customWidth="1"/>
    <col min="15383" max="15383" width="16.6640625" style="13" customWidth="1"/>
    <col min="15384" max="15384" width="19" style="13" bestFit="1" customWidth="1"/>
    <col min="15385" max="15385" width="9.109375" style="13"/>
    <col min="15386" max="15386" width="18.88671875" style="13" bestFit="1" customWidth="1"/>
    <col min="15387" max="15616" width="9.109375" style="13"/>
    <col min="15617" max="15617" width="10.5546875" style="13" bestFit="1" customWidth="1"/>
    <col min="15618" max="15618" width="44.109375" style="13" customWidth="1"/>
    <col min="15619" max="15619" width="14.6640625" style="13" customWidth="1"/>
    <col min="15620" max="15620" width="23.6640625" style="13" bestFit="1" customWidth="1"/>
    <col min="15621" max="15621" width="11.88671875" style="13" customWidth="1"/>
    <col min="15622" max="15622" width="20.6640625" style="13" customWidth="1"/>
    <col min="15623" max="15623" width="15.6640625" style="13" customWidth="1"/>
    <col min="15624" max="15625" width="16.109375" style="13" bestFit="1" customWidth="1"/>
    <col min="15626" max="15626" width="13.6640625" style="13" customWidth="1"/>
    <col min="15627" max="15627" width="12.6640625" style="13" bestFit="1" customWidth="1"/>
    <col min="15628" max="15628" width="15.5546875" style="13" customWidth="1"/>
    <col min="15629" max="15629" width="16.109375" style="13" bestFit="1" customWidth="1"/>
    <col min="15630" max="15630" width="13.33203125" style="13" bestFit="1" customWidth="1"/>
    <col min="15631" max="15631" width="16.33203125" style="13" bestFit="1" customWidth="1"/>
    <col min="15632" max="15632" width="9.33203125" style="13" bestFit="1" customWidth="1"/>
    <col min="15633" max="15633" width="13" style="13" bestFit="1" customWidth="1"/>
    <col min="15634" max="15634" width="20.109375" style="13" bestFit="1" customWidth="1"/>
    <col min="15635" max="15635" width="50.33203125" style="13" bestFit="1" customWidth="1"/>
    <col min="15636" max="15636" width="16.109375" style="13" bestFit="1" customWidth="1"/>
    <col min="15637" max="15637" width="12.33203125" style="13" customWidth="1"/>
    <col min="15638" max="15638" width="18.88671875" style="13" bestFit="1" customWidth="1"/>
    <col min="15639" max="15639" width="16.6640625" style="13" customWidth="1"/>
    <col min="15640" max="15640" width="19" style="13" bestFit="1" customWidth="1"/>
    <col min="15641" max="15641" width="9.109375" style="13"/>
    <col min="15642" max="15642" width="18.88671875" style="13" bestFit="1" customWidth="1"/>
    <col min="15643" max="15872" width="9.109375" style="13"/>
    <col min="15873" max="15873" width="10.5546875" style="13" bestFit="1" customWidth="1"/>
    <col min="15874" max="15874" width="44.109375" style="13" customWidth="1"/>
    <col min="15875" max="15875" width="14.6640625" style="13" customWidth="1"/>
    <col min="15876" max="15876" width="23.6640625" style="13" bestFit="1" customWidth="1"/>
    <col min="15877" max="15877" width="11.88671875" style="13" customWidth="1"/>
    <col min="15878" max="15878" width="20.6640625" style="13" customWidth="1"/>
    <col min="15879" max="15879" width="15.6640625" style="13" customWidth="1"/>
    <col min="15880" max="15881" width="16.109375" style="13" bestFit="1" customWidth="1"/>
    <col min="15882" max="15882" width="13.6640625" style="13" customWidth="1"/>
    <col min="15883" max="15883" width="12.6640625" style="13" bestFit="1" customWidth="1"/>
    <col min="15884" max="15884" width="15.5546875" style="13" customWidth="1"/>
    <col min="15885" max="15885" width="16.109375" style="13" bestFit="1" customWidth="1"/>
    <col min="15886" max="15886" width="13.33203125" style="13" bestFit="1" customWidth="1"/>
    <col min="15887" max="15887" width="16.33203125" style="13" bestFit="1" customWidth="1"/>
    <col min="15888" max="15888" width="9.33203125" style="13" bestFit="1" customWidth="1"/>
    <col min="15889" max="15889" width="13" style="13" bestFit="1" customWidth="1"/>
    <col min="15890" max="15890" width="20.109375" style="13" bestFit="1" customWidth="1"/>
    <col min="15891" max="15891" width="50.33203125" style="13" bestFit="1" customWidth="1"/>
    <col min="15892" max="15892" width="16.109375" style="13" bestFit="1" customWidth="1"/>
    <col min="15893" max="15893" width="12.33203125" style="13" customWidth="1"/>
    <col min="15894" max="15894" width="18.88671875" style="13" bestFit="1" customWidth="1"/>
    <col min="15895" max="15895" width="16.6640625" style="13" customWidth="1"/>
    <col min="15896" max="15896" width="19" style="13" bestFit="1" customWidth="1"/>
    <col min="15897" max="15897" width="9.109375" style="13"/>
    <col min="15898" max="15898" width="18.88671875" style="13" bestFit="1" customWidth="1"/>
    <col min="15899" max="16128" width="9.109375" style="13"/>
    <col min="16129" max="16129" width="10.5546875" style="13" bestFit="1" customWidth="1"/>
    <col min="16130" max="16130" width="44.109375" style="13" customWidth="1"/>
    <col min="16131" max="16131" width="14.6640625" style="13" customWidth="1"/>
    <col min="16132" max="16132" width="23.6640625" style="13" bestFit="1" customWidth="1"/>
    <col min="16133" max="16133" width="11.88671875" style="13" customWidth="1"/>
    <col min="16134" max="16134" width="20.6640625" style="13" customWidth="1"/>
    <col min="16135" max="16135" width="15.6640625" style="13" customWidth="1"/>
    <col min="16136" max="16137" width="16.109375" style="13" bestFit="1" customWidth="1"/>
    <col min="16138" max="16138" width="13.6640625" style="13" customWidth="1"/>
    <col min="16139" max="16139" width="12.6640625" style="13" bestFit="1" customWidth="1"/>
    <col min="16140" max="16140" width="15.5546875" style="13" customWidth="1"/>
    <col min="16141" max="16141" width="16.109375" style="13" bestFit="1" customWidth="1"/>
    <col min="16142" max="16142" width="13.33203125" style="13" bestFit="1" customWidth="1"/>
    <col min="16143" max="16143" width="16.33203125" style="13" bestFit="1" customWidth="1"/>
    <col min="16144" max="16144" width="9.33203125" style="13" bestFit="1" customWidth="1"/>
    <col min="16145" max="16145" width="13" style="13" bestFit="1" customWidth="1"/>
    <col min="16146" max="16146" width="20.109375" style="13" bestFit="1" customWidth="1"/>
    <col min="16147" max="16147" width="50.33203125" style="13" bestFit="1" customWidth="1"/>
    <col min="16148" max="16148" width="16.109375" style="13" bestFit="1" customWidth="1"/>
    <col min="16149" max="16149" width="12.33203125" style="13" customWidth="1"/>
    <col min="16150" max="16150" width="18.88671875" style="13" bestFit="1" customWidth="1"/>
    <col min="16151" max="16151" width="16.6640625" style="13" customWidth="1"/>
    <col min="16152" max="16152" width="19" style="13" bestFit="1" customWidth="1"/>
    <col min="16153" max="16153" width="9.109375" style="13"/>
    <col min="16154" max="16154" width="18.88671875" style="13" bestFit="1" customWidth="1"/>
    <col min="16155" max="16384" width="9.109375" style="13"/>
  </cols>
  <sheetData>
    <row r="1" spans="1:26">
      <c r="J1" s="16"/>
      <c r="K1" s="16"/>
      <c r="L1" s="16"/>
    </row>
    <row r="2" spans="1:26" ht="17.399999999999999">
      <c r="A2" s="208" t="s">
        <v>226</v>
      </c>
      <c r="J2" s="207"/>
      <c r="K2" s="16"/>
      <c r="L2" s="16"/>
    </row>
    <row r="3" spans="1:26" ht="14.4" thickBot="1">
      <c r="A3" s="9" t="s">
        <v>132</v>
      </c>
      <c r="H3" s="49"/>
      <c r="J3" s="206"/>
      <c r="K3" s="16"/>
      <c r="L3" s="16"/>
    </row>
    <row r="4" spans="1:26" ht="16.2" thickBot="1">
      <c r="A4" s="92"/>
      <c r="B4" s="90"/>
      <c r="C4" s="90" t="s">
        <v>225</v>
      </c>
      <c r="D4" s="205" t="e">
        <f>L218</f>
        <v>#REF!</v>
      </c>
      <c r="H4" s="49"/>
      <c r="J4" s="194"/>
      <c r="K4" s="204"/>
      <c r="L4" s="16"/>
    </row>
    <row r="5" spans="1:26">
      <c r="A5" s="94"/>
      <c r="B5" s="94"/>
      <c r="C5" s="94"/>
      <c r="D5" s="94"/>
      <c r="E5" s="94"/>
      <c r="F5" s="94"/>
      <c r="H5" s="49"/>
      <c r="J5" s="16"/>
      <c r="K5" s="193"/>
      <c r="L5" s="48"/>
      <c r="M5" s="49"/>
      <c r="N5" s="49"/>
      <c r="O5" s="49"/>
      <c r="P5" s="49"/>
      <c r="Q5" s="49"/>
      <c r="R5" s="49"/>
      <c r="S5" s="49"/>
      <c r="T5" s="203"/>
      <c r="U5" s="203"/>
      <c r="V5" s="203"/>
      <c r="W5" s="203"/>
      <c r="X5" s="203"/>
    </row>
    <row r="6" spans="1:26" ht="14.4">
      <c r="A6" s="94"/>
      <c r="B6" s="202"/>
      <c r="C6" s="201"/>
      <c r="D6" s="200"/>
      <c r="E6" s="201"/>
      <c r="F6" s="200" t="s">
        <v>99</v>
      </c>
      <c r="H6" s="49"/>
      <c r="J6" s="16"/>
      <c r="K6" s="193"/>
      <c r="L6" s="48"/>
      <c r="M6" s="49"/>
      <c r="N6" s="49"/>
      <c r="O6" s="49"/>
      <c r="P6" s="49"/>
      <c r="Q6" s="49"/>
      <c r="R6" s="49"/>
      <c r="S6" s="49"/>
      <c r="T6" s="199"/>
      <c r="X6" s="198"/>
      <c r="Z6" s="192"/>
    </row>
    <row r="7" spans="1:26" ht="15.6">
      <c r="A7" s="100"/>
      <c r="B7" s="197"/>
      <c r="C7" s="197"/>
      <c r="D7" s="9"/>
      <c r="E7" s="196" t="s">
        <v>224</v>
      </c>
      <c r="F7" s="195" t="e">
        <f>L214</f>
        <v>#REF!</v>
      </c>
      <c r="H7" s="49"/>
      <c r="J7" s="194"/>
      <c r="K7" s="193"/>
      <c r="L7" s="48"/>
      <c r="M7" s="49"/>
      <c r="N7" s="49"/>
      <c r="O7" s="49"/>
      <c r="P7" s="49"/>
      <c r="Q7" s="49"/>
      <c r="R7" s="49"/>
      <c r="S7" s="49"/>
      <c r="T7" s="86"/>
      <c r="Z7" s="192"/>
    </row>
    <row r="8" spans="1:26" ht="14.4">
      <c r="A8" s="93"/>
      <c r="B8" s="93"/>
      <c r="H8" s="49"/>
      <c r="J8" s="16"/>
      <c r="K8" s="48"/>
      <c r="L8" s="48"/>
      <c r="M8" s="49"/>
      <c r="N8" s="49"/>
      <c r="O8" s="49"/>
      <c r="P8" s="49"/>
      <c r="Q8" s="49"/>
      <c r="R8" s="49"/>
      <c r="S8" s="49"/>
      <c r="Z8" s="192"/>
    </row>
    <row r="9" spans="1:26" ht="14.4">
      <c r="H9" s="49"/>
      <c r="J9" s="16"/>
      <c r="K9" s="48"/>
      <c r="L9" s="48"/>
      <c r="M9" s="49"/>
      <c r="N9" s="49"/>
      <c r="O9" s="49"/>
      <c r="P9" s="49"/>
      <c r="Q9" s="49"/>
      <c r="R9" s="49"/>
      <c r="S9" s="49"/>
      <c r="Z9" s="192"/>
    </row>
    <row r="10" spans="1:26" ht="14.4">
      <c r="H10" s="49"/>
      <c r="J10" s="16"/>
      <c r="K10" s="48"/>
      <c r="L10" s="48"/>
      <c r="M10" s="49"/>
      <c r="N10" s="49"/>
      <c r="O10" s="49"/>
      <c r="P10" s="49"/>
      <c r="Q10" s="49"/>
      <c r="R10" s="49"/>
      <c r="S10" s="49"/>
      <c r="T10" s="190"/>
      <c r="X10" s="190"/>
      <c r="Z10" s="192"/>
    </row>
    <row r="11" spans="1:26">
      <c r="H11" s="49"/>
      <c r="J11" s="16"/>
      <c r="K11" s="48"/>
      <c r="L11" s="48"/>
      <c r="M11" s="49"/>
      <c r="N11" s="49"/>
      <c r="O11" s="49"/>
      <c r="P11" s="49"/>
      <c r="Q11" s="49"/>
      <c r="R11" s="49"/>
      <c r="S11" s="49"/>
      <c r="Z11" s="49"/>
    </row>
    <row r="12" spans="1:26">
      <c r="B12" s="150" t="s">
        <v>223</v>
      </c>
      <c r="H12" s="49"/>
      <c r="K12" s="49"/>
      <c r="L12" s="49"/>
      <c r="M12" s="49"/>
      <c r="N12" s="49"/>
      <c r="O12" s="49"/>
      <c r="P12" s="49"/>
      <c r="Q12" s="49"/>
      <c r="R12" s="49"/>
      <c r="S12" s="49"/>
      <c r="Z12" s="49"/>
    </row>
    <row r="13" spans="1:26">
      <c r="B13" s="124"/>
      <c r="H13" s="49"/>
      <c r="K13" s="49"/>
      <c r="L13" s="49"/>
      <c r="M13" s="49"/>
      <c r="N13" s="49"/>
      <c r="O13" s="49"/>
      <c r="P13" s="49"/>
      <c r="Q13" s="49"/>
      <c r="R13" s="49"/>
      <c r="S13" s="49"/>
      <c r="Z13" s="49"/>
    </row>
    <row r="14" spans="1:26">
      <c r="B14" s="129" t="s">
        <v>222</v>
      </c>
      <c r="C14" s="94"/>
      <c r="D14" s="94"/>
      <c r="E14" s="94"/>
      <c r="H14" s="49"/>
      <c r="K14" s="49"/>
      <c r="L14" s="49"/>
      <c r="M14" s="49"/>
      <c r="N14" s="49"/>
      <c r="O14" s="49"/>
      <c r="P14" s="49"/>
      <c r="Q14" s="49"/>
      <c r="R14" s="49"/>
      <c r="S14" s="49"/>
      <c r="Z14" s="49"/>
    </row>
    <row r="15" spans="1:26" ht="14.4">
      <c r="B15" s="139" t="s">
        <v>172</v>
      </c>
      <c r="C15" s="139"/>
      <c r="D15" s="191">
        <v>14101.476000000001</v>
      </c>
      <c r="E15" s="141" t="s">
        <v>171</v>
      </c>
      <c r="F15" s="49"/>
      <c r="H15" s="49"/>
      <c r="K15" s="49"/>
      <c r="L15" s="49"/>
      <c r="M15" s="49"/>
      <c r="N15" s="49"/>
      <c r="O15" s="49"/>
      <c r="P15" s="49"/>
      <c r="Q15" s="49"/>
      <c r="R15" s="49"/>
      <c r="S15" s="49"/>
      <c r="T15" s="190"/>
      <c r="V15" s="190"/>
      <c r="X15" s="190"/>
      <c r="Z15" s="190"/>
    </row>
    <row r="16" spans="1:26" ht="14.4">
      <c r="B16" s="139" t="s">
        <v>170</v>
      </c>
      <c r="C16" s="139"/>
      <c r="D16" s="191">
        <v>146</v>
      </c>
      <c r="E16" s="141" t="s">
        <v>169</v>
      </c>
      <c r="F16" s="49"/>
      <c r="H16" s="49"/>
      <c r="K16" s="49"/>
      <c r="L16" s="49"/>
      <c r="M16" s="49"/>
      <c r="N16" s="49"/>
      <c r="O16" s="49"/>
      <c r="P16" s="49"/>
      <c r="Q16" s="49"/>
      <c r="R16" s="49"/>
      <c r="S16" s="49"/>
      <c r="T16" s="190"/>
      <c r="V16" s="190"/>
      <c r="X16" s="190"/>
      <c r="Z16" s="190"/>
    </row>
    <row r="17" spans="1:26" ht="14.4">
      <c r="B17" s="139" t="s">
        <v>168</v>
      </c>
      <c r="C17" s="139"/>
      <c r="D17" s="191">
        <v>2337</v>
      </c>
      <c r="E17" s="141" t="s">
        <v>103</v>
      </c>
      <c r="F17" s="49"/>
      <c r="H17" s="49"/>
      <c r="K17" s="49"/>
      <c r="L17" s="49"/>
      <c r="M17" s="49"/>
      <c r="N17" s="49"/>
      <c r="O17" s="49"/>
      <c r="P17" s="49"/>
      <c r="Q17" s="49"/>
      <c r="R17" s="49"/>
      <c r="S17" s="49"/>
      <c r="T17" s="190"/>
      <c r="V17" s="190"/>
      <c r="X17" s="190"/>
      <c r="Z17" s="190"/>
    </row>
    <row r="18" spans="1:26" ht="14.4">
      <c r="B18" s="139" t="s">
        <v>167</v>
      </c>
      <c r="C18" s="139"/>
      <c r="D18" s="191" t="e">
        <f>IF(#REF!=1,27095983,22134200+1012466)</f>
        <v>#REF!</v>
      </c>
      <c r="E18" s="141" t="s">
        <v>166</v>
      </c>
      <c r="F18" s="49"/>
      <c r="H18" s="49"/>
      <c r="K18" s="49"/>
      <c r="L18" s="49"/>
      <c r="M18" s="49"/>
      <c r="N18" s="49"/>
      <c r="O18" s="49"/>
      <c r="P18" s="49"/>
      <c r="Q18" s="49"/>
      <c r="R18" s="49"/>
      <c r="S18" s="49"/>
      <c r="T18" s="190"/>
      <c r="V18" s="190"/>
      <c r="X18" s="190"/>
      <c r="Z18" s="190"/>
    </row>
    <row r="19" spans="1:26">
      <c r="B19" s="94"/>
      <c r="C19" s="94"/>
      <c r="D19" s="107"/>
      <c r="E19" s="141"/>
      <c r="F19" s="49"/>
      <c r="H19" s="49"/>
      <c r="K19" s="49"/>
      <c r="L19" s="49"/>
      <c r="M19" s="49"/>
      <c r="N19" s="49"/>
      <c r="O19" s="49"/>
      <c r="P19" s="188"/>
      <c r="Q19" s="49"/>
      <c r="R19" s="49"/>
      <c r="S19" s="49"/>
      <c r="Z19" s="49"/>
    </row>
    <row r="20" spans="1:26" ht="14.4">
      <c r="B20" s="94"/>
      <c r="C20" s="94"/>
      <c r="D20" s="107"/>
      <c r="E20" s="141"/>
      <c r="H20" s="49"/>
      <c r="K20" s="49"/>
      <c r="L20" s="49"/>
      <c r="M20" s="49"/>
      <c r="N20" s="49"/>
      <c r="O20" s="189"/>
      <c r="P20" s="188"/>
      <c r="Q20" s="49"/>
      <c r="R20" s="49"/>
      <c r="S20" s="49"/>
      <c r="Z20" s="49"/>
    </row>
    <row r="21" spans="1:26" ht="14.4">
      <c r="H21" s="49"/>
      <c r="K21" s="49"/>
      <c r="L21" s="49"/>
      <c r="M21" s="48"/>
      <c r="N21" s="48"/>
      <c r="O21" s="174"/>
      <c r="P21" s="48"/>
      <c r="Q21" s="48"/>
      <c r="R21" s="48"/>
      <c r="S21" s="48"/>
      <c r="Z21" s="49"/>
    </row>
    <row r="22" spans="1:26" s="87" customFormat="1" ht="14.4">
      <c r="M22" s="186"/>
      <c r="N22" s="186"/>
      <c r="O22" s="187"/>
      <c r="P22" s="186"/>
      <c r="Q22" s="186"/>
      <c r="R22" s="186"/>
      <c r="S22" s="186"/>
    </row>
    <row r="23" spans="1:26" ht="14.4">
      <c r="G23" s="49"/>
      <c r="H23" s="49"/>
      <c r="I23" s="49"/>
      <c r="J23" s="49"/>
      <c r="K23" s="185"/>
      <c r="L23" s="49"/>
      <c r="M23" s="48"/>
      <c r="N23" s="48"/>
      <c r="O23" s="174"/>
      <c r="P23" s="48"/>
      <c r="Q23" s="48"/>
      <c r="R23" s="48"/>
      <c r="S23" s="48"/>
      <c r="T23" s="49"/>
      <c r="U23" s="49"/>
      <c r="V23" s="49"/>
      <c r="W23" s="49"/>
      <c r="X23" s="49"/>
      <c r="Y23" s="49"/>
      <c r="Z23" s="49"/>
    </row>
    <row r="24" spans="1:26">
      <c r="B24" s="94" t="s">
        <v>221</v>
      </c>
      <c r="G24" s="49"/>
      <c r="H24" s="49"/>
      <c r="I24" s="49"/>
      <c r="J24" s="49"/>
      <c r="K24" s="49"/>
      <c r="L24" s="49"/>
      <c r="M24" s="48"/>
      <c r="N24" s="48"/>
      <c r="O24" s="48"/>
      <c r="P24" s="48"/>
      <c r="Q24" s="48"/>
      <c r="R24" s="48"/>
      <c r="S24" s="48"/>
      <c r="T24" s="49"/>
      <c r="U24" s="49"/>
      <c r="V24" s="49"/>
      <c r="W24" s="49"/>
      <c r="X24" s="49"/>
      <c r="Y24" s="49"/>
      <c r="Z24" s="49"/>
    </row>
    <row r="25" spans="1:26">
      <c r="D25" s="104"/>
      <c r="G25" s="49"/>
      <c r="H25" s="49"/>
      <c r="I25" s="49"/>
      <c r="J25" s="49"/>
      <c r="K25" s="49"/>
      <c r="L25" s="49"/>
      <c r="M25" s="48"/>
      <c r="N25" s="48"/>
      <c r="O25" s="48"/>
      <c r="P25" s="48"/>
      <c r="Q25" s="48"/>
      <c r="R25" s="48"/>
      <c r="S25" s="48"/>
      <c r="T25" s="49"/>
      <c r="U25" s="49"/>
      <c r="V25" s="49"/>
      <c r="W25" s="49"/>
      <c r="X25" s="49"/>
      <c r="Y25" s="49"/>
      <c r="Z25" s="49"/>
    </row>
    <row r="26" spans="1:26">
      <c r="A26" s="184" t="s">
        <v>0</v>
      </c>
      <c r="B26" s="183"/>
      <c r="C26" s="182"/>
      <c r="D26" s="176" t="s">
        <v>218</v>
      </c>
      <c r="E26" s="181" t="s">
        <v>220</v>
      </c>
      <c r="F26" s="181"/>
      <c r="K26" s="49"/>
      <c r="L26" s="49"/>
      <c r="M26" s="48"/>
      <c r="N26" s="48"/>
      <c r="O26" s="48"/>
      <c r="P26" s="48"/>
      <c r="Q26" s="48"/>
      <c r="R26" s="48"/>
      <c r="S26" s="48"/>
      <c r="T26" s="49"/>
      <c r="U26" s="49"/>
      <c r="V26" s="49"/>
      <c r="W26" s="49"/>
      <c r="X26" s="49"/>
      <c r="Y26" s="49"/>
      <c r="Z26" s="49"/>
    </row>
    <row r="27" spans="1:26">
      <c r="A27" s="180" t="s">
        <v>2</v>
      </c>
      <c r="B27" s="180"/>
      <c r="C27" s="179" t="s">
        <v>219</v>
      </c>
      <c r="D27" s="178" t="s">
        <v>81</v>
      </c>
      <c r="E27" s="178" t="s">
        <v>218</v>
      </c>
      <c r="F27" s="175"/>
      <c r="K27" s="49"/>
      <c r="M27" s="48"/>
      <c r="N27" s="48"/>
      <c r="O27" s="48"/>
      <c r="P27" s="48"/>
      <c r="Q27" s="48"/>
      <c r="R27" s="48"/>
      <c r="S27" s="48"/>
      <c r="T27" s="49"/>
      <c r="U27" s="49"/>
      <c r="V27" s="49"/>
      <c r="W27" s="49"/>
      <c r="X27" s="49"/>
      <c r="Y27" s="49"/>
      <c r="Z27" s="49"/>
    </row>
    <row r="28" spans="1:26">
      <c r="A28" s="177"/>
      <c r="B28" s="177" t="s">
        <v>4</v>
      </c>
      <c r="C28" s="177" t="s">
        <v>5</v>
      </c>
      <c r="D28" s="176" t="s">
        <v>6</v>
      </c>
      <c r="E28" s="176" t="s">
        <v>7</v>
      </c>
      <c r="F28" s="175"/>
      <c r="K28" s="49"/>
      <c r="M28" s="48"/>
      <c r="N28" s="48"/>
      <c r="O28" s="48"/>
      <c r="P28" s="48"/>
      <c r="Q28" s="48"/>
      <c r="R28" s="48"/>
      <c r="S28" s="48"/>
      <c r="T28" s="49"/>
      <c r="U28" s="49"/>
      <c r="V28" s="49"/>
      <c r="W28" s="49"/>
      <c r="X28" s="49"/>
      <c r="Y28" s="49"/>
      <c r="Z28" s="49"/>
    </row>
    <row r="29" spans="1:26">
      <c r="A29" s="167">
        <v>1</v>
      </c>
      <c r="B29" s="169" t="s">
        <v>217</v>
      </c>
      <c r="C29" s="169" t="e">
        <f>SUM(D29:E29)</f>
        <v>#REF!</v>
      </c>
      <c r="D29" s="159" t="e">
        <f>#REF!</f>
        <v>#REF!</v>
      </c>
      <c r="E29" s="159" t="e">
        <f>#REF!</f>
        <v>#REF!</v>
      </c>
      <c r="F29" s="163"/>
      <c r="G29" s="176" t="s">
        <v>218</v>
      </c>
      <c r="H29" s="181" t="s">
        <v>220</v>
      </c>
      <c r="K29" s="49"/>
      <c r="M29" s="48"/>
      <c r="N29" s="48"/>
      <c r="O29" s="48"/>
      <c r="P29" s="48"/>
      <c r="Q29" s="48"/>
      <c r="R29" s="48"/>
      <c r="S29" s="48"/>
      <c r="T29" s="49"/>
      <c r="U29" s="49"/>
      <c r="V29" s="49"/>
      <c r="W29" s="49"/>
      <c r="X29" s="49"/>
      <c r="Y29" s="49"/>
      <c r="Z29" s="49"/>
    </row>
    <row r="30" spans="1:26" ht="14.4">
      <c r="A30" s="167">
        <v>2</v>
      </c>
      <c r="B30" s="174" t="s">
        <v>216</v>
      </c>
      <c r="C30" s="169" t="e">
        <f>SUM(D30:E30)</f>
        <v>#REF!</v>
      </c>
      <c r="D30" s="159" t="e">
        <f>#REF!</f>
        <v>#REF!</v>
      </c>
      <c r="E30" s="159" t="e">
        <f>#REF!</f>
        <v>#REF!</v>
      </c>
      <c r="F30" s="163"/>
      <c r="G30" s="178" t="s">
        <v>81</v>
      </c>
      <c r="H30" s="178" t="s">
        <v>218</v>
      </c>
      <c r="K30" s="49"/>
      <c r="R30" s="49"/>
      <c r="S30" s="49"/>
      <c r="T30" s="49"/>
      <c r="U30" s="49"/>
      <c r="V30" s="49"/>
      <c r="W30" s="49"/>
      <c r="X30" s="49"/>
      <c r="Y30" s="49"/>
      <c r="Z30" s="49"/>
    </row>
    <row r="31" spans="1:26" ht="14.4">
      <c r="A31" s="167"/>
      <c r="B31" s="174"/>
      <c r="C31" s="169"/>
      <c r="D31" s="159"/>
      <c r="E31" s="159"/>
      <c r="F31" s="163"/>
      <c r="G31" s="173"/>
      <c r="K31" s="49"/>
      <c r="R31" s="49"/>
      <c r="S31" s="49"/>
      <c r="T31" s="49"/>
      <c r="U31" s="49"/>
      <c r="V31" s="49"/>
      <c r="W31" s="49"/>
      <c r="X31" s="49"/>
      <c r="Y31" s="49"/>
      <c r="Z31" s="49"/>
    </row>
    <row r="32" spans="1:26">
      <c r="A32" s="167">
        <v>3</v>
      </c>
      <c r="B32" s="169" t="s">
        <v>215</v>
      </c>
      <c r="C32" s="164" t="e">
        <f>#REF!</f>
        <v>#REF!</v>
      </c>
      <c r="D32" s="164" t="e">
        <f>$C$32*G32</f>
        <v>#REF!</v>
      </c>
      <c r="E32" s="164" t="e">
        <f>$C$32*H32</f>
        <v>#REF!</v>
      </c>
      <c r="F32" s="163"/>
      <c r="G32" s="265" t="e">
        <f>#REF!</f>
        <v>#REF!</v>
      </c>
      <c r="H32" s="265" t="e">
        <f>#REF!</f>
        <v>#REF!</v>
      </c>
      <c r="K32" s="49"/>
      <c r="R32" s="49"/>
      <c r="S32" s="49"/>
      <c r="T32" s="49"/>
      <c r="U32" s="49"/>
      <c r="V32" s="49"/>
      <c r="W32" s="49"/>
      <c r="X32" s="49"/>
      <c r="Y32" s="49"/>
      <c r="Z32" s="49"/>
    </row>
    <row r="33" spans="1:26">
      <c r="B33" s="166"/>
      <c r="C33" s="172"/>
      <c r="D33" s="171"/>
      <c r="E33" s="171"/>
      <c r="F33" s="16"/>
      <c r="G33" s="9"/>
      <c r="H33" s="9"/>
      <c r="I33" s="121"/>
      <c r="K33" s="49"/>
      <c r="R33" s="49"/>
      <c r="S33" s="49"/>
      <c r="T33" s="49"/>
      <c r="U33" s="49"/>
      <c r="V33" s="49"/>
      <c r="W33" s="49"/>
      <c r="X33" s="49"/>
      <c r="Y33" s="49"/>
      <c r="Z33" s="49"/>
    </row>
    <row r="34" spans="1:26">
      <c r="A34" s="167"/>
      <c r="B34" s="170"/>
      <c r="C34" s="169"/>
      <c r="D34" s="169"/>
      <c r="E34" s="169"/>
      <c r="F34" s="163"/>
      <c r="G34" s="9"/>
      <c r="H34" s="9"/>
      <c r="K34" s="49"/>
      <c r="R34" s="49"/>
      <c r="S34" s="49"/>
      <c r="T34" s="49"/>
      <c r="U34" s="49"/>
      <c r="V34" s="49"/>
      <c r="W34" s="49"/>
      <c r="X34" s="49"/>
      <c r="Y34" s="49"/>
      <c r="Z34" s="49"/>
    </row>
    <row r="35" spans="1:26">
      <c r="A35" s="167"/>
      <c r="B35" s="166" t="s">
        <v>262</v>
      </c>
      <c r="C35" s="168" t="e">
        <f>#REF!*-1000</f>
        <v>#REF!</v>
      </c>
      <c r="D35" s="168" t="e">
        <f>$C$35*G35</f>
        <v>#REF!</v>
      </c>
      <c r="E35" s="168" t="e">
        <f>$C$35*H35</f>
        <v>#REF!</v>
      </c>
      <c r="F35" s="163"/>
      <c r="G35" s="265" t="e">
        <f>G32</f>
        <v>#REF!</v>
      </c>
      <c r="H35" s="265" t="e">
        <f>H32</f>
        <v>#REF!</v>
      </c>
      <c r="K35" s="49"/>
      <c r="R35" s="49"/>
      <c r="S35" s="49"/>
      <c r="T35" s="49"/>
      <c r="U35" s="49"/>
      <c r="V35" s="49"/>
      <c r="W35" s="49"/>
      <c r="X35" s="49"/>
      <c r="Y35" s="49"/>
      <c r="Z35" s="49"/>
    </row>
    <row r="36" spans="1:26">
      <c r="A36" s="167"/>
      <c r="B36" s="166" t="s">
        <v>261</v>
      </c>
      <c r="C36" s="165" t="e">
        <f>C32+C35</f>
        <v>#REF!</v>
      </c>
      <c r="D36" s="164" t="e">
        <f>D35+D32</f>
        <v>#REF!</v>
      </c>
      <c r="E36" s="164" t="e">
        <f>E35+E32</f>
        <v>#REF!</v>
      </c>
      <c r="F36" s="163"/>
      <c r="K36" s="49"/>
      <c r="R36" s="49"/>
      <c r="S36" s="49"/>
      <c r="T36" s="49"/>
      <c r="U36" s="49"/>
      <c r="V36" s="49"/>
      <c r="W36" s="49"/>
      <c r="X36" s="49"/>
      <c r="Y36" s="49"/>
      <c r="Z36" s="49"/>
    </row>
    <row r="37" spans="1:26">
      <c r="I37" s="162"/>
      <c r="K37" s="49"/>
      <c r="R37" s="49"/>
      <c r="S37" s="49"/>
      <c r="T37" s="49"/>
      <c r="U37" s="49"/>
      <c r="V37" s="49"/>
      <c r="W37" s="49"/>
      <c r="X37" s="49"/>
      <c r="Y37" s="49"/>
      <c r="Z37" s="49"/>
    </row>
    <row r="38" spans="1:26">
      <c r="I38" s="162"/>
      <c r="K38" s="49"/>
      <c r="R38" s="49"/>
      <c r="S38" s="49"/>
      <c r="T38" s="49"/>
      <c r="U38" s="49"/>
      <c r="V38" s="49"/>
      <c r="W38" s="49"/>
      <c r="X38" s="49"/>
      <c r="Y38" s="49"/>
      <c r="Z38" s="49"/>
    </row>
    <row r="39" spans="1:26">
      <c r="B39" s="161" t="s">
        <v>214</v>
      </c>
      <c r="C39" s="13" t="s">
        <v>209</v>
      </c>
      <c r="D39" s="132" t="e">
        <f>(D29+D30)</f>
        <v>#REF!</v>
      </c>
      <c r="E39" s="49" t="s">
        <v>213</v>
      </c>
      <c r="K39" s="49"/>
      <c r="R39" s="49"/>
      <c r="S39" s="49"/>
      <c r="T39" s="49"/>
      <c r="U39" s="49"/>
      <c r="V39" s="49"/>
      <c r="W39" s="49"/>
      <c r="X39" s="49"/>
      <c r="Y39" s="49"/>
      <c r="Z39" s="49"/>
    </row>
    <row r="40" spans="1:26" ht="27.6">
      <c r="B40" s="161" t="s">
        <v>212</v>
      </c>
      <c r="C40" s="13" t="s">
        <v>209</v>
      </c>
      <c r="D40" s="132" t="e">
        <f>D35*(D39/D32)</f>
        <v>#REF!</v>
      </c>
      <c r="E40" s="13" t="s">
        <v>211</v>
      </c>
      <c r="K40" s="49"/>
      <c r="R40" s="49"/>
      <c r="S40" s="49"/>
      <c r="T40" s="49"/>
      <c r="U40" s="49"/>
      <c r="V40" s="49"/>
      <c r="W40" s="49"/>
      <c r="X40" s="49"/>
      <c r="Y40" s="49"/>
      <c r="Z40" s="49"/>
    </row>
    <row r="41" spans="1:26" ht="28.2" thickBot="1">
      <c r="B41" s="161" t="s">
        <v>210</v>
      </c>
      <c r="C41" s="13" t="s">
        <v>209</v>
      </c>
      <c r="D41" s="160" t="e">
        <f>D39+D40</f>
        <v>#REF!</v>
      </c>
      <c r="E41" s="13" t="s">
        <v>208</v>
      </c>
      <c r="K41" s="49"/>
      <c r="R41" s="49"/>
      <c r="S41" s="49"/>
      <c r="T41" s="49"/>
      <c r="U41" s="49"/>
      <c r="V41" s="49"/>
      <c r="W41" s="49"/>
      <c r="X41" s="49"/>
      <c r="Y41" s="49"/>
      <c r="Z41" s="49"/>
    </row>
    <row r="42" spans="1:26" ht="14.4" thickTop="1">
      <c r="B42" s="49"/>
      <c r="C42" s="49"/>
      <c r="D42" s="49"/>
      <c r="E42" s="49"/>
      <c r="F42" s="49"/>
      <c r="G42" s="49"/>
      <c r="H42" s="49"/>
      <c r="K42" s="49"/>
      <c r="R42" s="49"/>
      <c r="S42" s="49"/>
      <c r="T42" s="49"/>
      <c r="U42" s="49"/>
      <c r="V42" s="49"/>
      <c r="W42" s="49"/>
      <c r="X42" s="49"/>
      <c r="Y42" s="49"/>
      <c r="Z42" s="49"/>
    </row>
    <row r="43" spans="1:26">
      <c r="B43" s="13" t="s">
        <v>207</v>
      </c>
      <c r="C43" s="49" t="s">
        <v>206</v>
      </c>
      <c r="D43" s="159" t="e">
        <f>#REF!</f>
        <v>#REF!</v>
      </c>
      <c r="E43" s="49" t="s">
        <v>205</v>
      </c>
      <c r="F43" s="49"/>
      <c r="G43" s="49"/>
      <c r="H43" s="49"/>
      <c r="K43" s="49"/>
      <c r="R43" s="49"/>
      <c r="S43" s="49"/>
      <c r="T43" s="49"/>
      <c r="U43" s="49"/>
      <c r="V43" s="49"/>
      <c r="W43" s="49"/>
      <c r="X43" s="49"/>
      <c r="Y43" s="49"/>
      <c r="Z43" s="49"/>
    </row>
    <row r="44" spans="1:26" ht="14.4" thickBot="1">
      <c r="K44" s="49"/>
      <c r="R44" s="49"/>
      <c r="S44" s="49"/>
      <c r="T44" s="49"/>
      <c r="U44" s="49"/>
      <c r="V44" s="49"/>
      <c r="W44" s="49"/>
      <c r="X44" s="49"/>
      <c r="Y44" s="49"/>
      <c r="Z44" s="49"/>
    </row>
    <row r="45" spans="1:26" ht="14.4" thickBot="1">
      <c r="B45" s="13" t="s">
        <v>135</v>
      </c>
      <c r="C45" s="13" t="s">
        <v>97</v>
      </c>
      <c r="D45" s="158" t="e">
        <f>D41/(D43*365)</f>
        <v>#REF!</v>
      </c>
      <c r="E45" s="49" t="s">
        <v>204</v>
      </c>
      <c r="K45" s="49"/>
      <c r="R45" s="49"/>
      <c r="S45" s="49"/>
      <c r="T45" s="49"/>
      <c r="U45" s="49"/>
      <c r="V45" s="49"/>
      <c r="W45" s="49"/>
      <c r="X45" s="49"/>
      <c r="Y45" s="49"/>
      <c r="Z45" s="49"/>
    </row>
    <row r="46" spans="1:26">
      <c r="K46" s="49"/>
      <c r="R46" s="49"/>
      <c r="S46" s="49"/>
      <c r="T46" s="49"/>
      <c r="U46" s="49"/>
      <c r="V46" s="49"/>
      <c r="W46" s="49"/>
      <c r="X46" s="49"/>
      <c r="Y46" s="49"/>
      <c r="Z46" s="49"/>
    </row>
    <row r="47" spans="1:26" s="87" customFormat="1"/>
    <row r="48" spans="1:26">
      <c r="A48" s="49"/>
      <c r="B48" s="150" t="s">
        <v>203</v>
      </c>
      <c r="K48" s="49"/>
    </row>
    <row r="49" spans="1:11">
      <c r="A49" s="49"/>
      <c r="B49" s="157"/>
      <c r="J49" s="156" t="s">
        <v>202</v>
      </c>
      <c r="K49" s="49"/>
    </row>
    <row r="50" spans="1:11">
      <c r="A50" s="49"/>
      <c r="B50" s="150" t="s">
        <v>201</v>
      </c>
      <c r="K50" s="49"/>
    </row>
    <row r="51" spans="1:11">
      <c r="A51" s="49"/>
      <c r="K51" s="49"/>
    </row>
    <row r="52" spans="1:11" ht="66">
      <c r="A52" s="49"/>
      <c r="B52" s="149"/>
      <c r="C52" s="148"/>
      <c r="D52" s="148" t="s">
        <v>200</v>
      </c>
      <c r="E52" s="148" t="s">
        <v>199</v>
      </c>
      <c r="F52" s="148" t="s">
        <v>198</v>
      </c>
      <c r="G52" s="148" t="s">
        <v>197</v>
      </c>
      <c r="H52" s="16"/>
      <c r="K52" s="49"/>
    </row>
    <row r="53" spans="1:11">
      <c r="A53" s="49"/>
      <c r="B53" s="149"/>
      <c r="C53" s="148"/>
      <c r="D53" s="148"/>
      <c r="E53" s="148"/>
      <c r="F53" s="148"/>
      <c r="G53" s="148"/>
      <c r="K53" s="49"/>
    </row>
    <row r="54" spans="1:11">
      <c r="A54" s="49"/>
      <c r="B54" s="147" t="s">
        <v>113</v>
      </c>
      <c r="C54" s="147" t="s">
        <v>112</v>
      </c>
      <c r="D54" s="472" t="s">
        <v>196</v>
      </c>
      <c r="E54" s="472"/>
      <c r="F54" s="472"/>
      <c r="G54" s="472"/>
      <c r="H54" s="94"/>
      <c r="J54" s="105" t="s">
        <v>178</v>
      </c>
      <c r="K54" s="49"/>
    </row>
    <row r="55" spans="1:11">
      <c r="A55" s="49"/>
      <c r="B55" s="145" t="s">
        <v>107</v>
      </c>
      <c r="C55" s="145" t="s">
        <v>106</v>
      </c>
      <c r="D55" s="145"/>
      <c r="E55" s="145"/>
      <c r="F55" s="145"/>
      <c r="G55" s="145"/>
      <c r="I55" s="144" t="s">
        <v>177</v>
      </c>
      <c r="J55" s="144" t="s">
        <v>176</v>
      </c>
      <c r="K55" s="49"/>
    </row>
    <row r="56" spans="1:11">
      <c r="A56" s="49"/>
      <c r="B56" s="145"/>
      <c r="C56" s="145"/>
      <c r="D56" s="145"/>
      <c r="E56" s="145"/>
      <c r="F56" s="145"/>
      <c r="G56" s="145"/>
      <c r="I56" s="144"/>
      <c r="J56" s="144"/>
      <c r="K56" s="49"/>
    </row>
    <row r="57" spans="1:11">
      <c r="A57" s="49"/>
      <c r="B57" s="473">
        <v>50</v>
      </c>
      <c r="C57" s="145">
        <v>50</v>
      </c>
      <c r="D57" s="143">
        <v>0</v>
      </c>
      <c r="E57" s="143">
        <v>1</v>
      </c>
      <c r="F57" s="143">
        <v>0</v>
      </c>
      <c r="G57" s="143">
        <v>0</v>
      </c>
      <c r="I57" s="155">
        <f t="shared" ref="I57:I74" si="0">D57*7+E57*2</f>
        <v>2</v>
      </c>
      <c r="J57" s="155">
        <f t="shared" ref="J57:J74" si="1">F57*12.8+G57*13.8</f>
        <v>0</v>
      </c>
      <c r="K57" s="49"/>
    </row>
    <row r="58" spans="1:11">
      <c r="A58" s="49"/>
      <c r="B58" s="473"/>
      <c r="C58" s="145">
        <v>100</v>
      </c>
      <c r="D58" s="143">
        <v>1</v>
      </c>
      <c r="E58" s="143">
        <v>0</v>
      </c>
      <c r="F58" s="143">
        <v>0.06</v>
      </c>
      <c r="G58" s="143">
        <v>0</v>
      </c>
      <c r="I58" s="155">
        <f t="shared" si="0"/>
        <v>7</v>
      </c>
      <c r="J58" s="155">
        <f t="shared" si="1"/>
        <v>0.76800000000000002</v>
      </c>
      <c r="K58" s="49"/>
    </row>
    <row r="59" spans="1:11">
      <c r="A59" s="49"/>
      <c r="B59" s="473"/>
      <c r="C59" s="145">
        <v>150</v>
      </c>
      <c r="D59" s="143">
        <v>1</v>
      </c>
      <c r="E59" s="143">
        <v>0</v>
      </c>
      <c r="F59" s="143">
        <v>0.19</v>
      </c>
      <c r="G59" s="143">
        <v>0</v>
      </c>
      <c r="I59" s="155">
        <f t="shared" si="0"/>
        <v>7</v>
      </c>
      <c r="J59" s="155">
        <f t="shared" si="1"/>
        <v>2.4320000000000004</v>
      </c>
      <c r="K59" s="49"/>
    </row>
    <row r="60" spans="1:11">
      <c r="A60" s="49"/>
      <c r="B60" s="473"/>
      <c r="C60" s="145">
        <v>200</v>
      </c>
      <c r="D60" s="143">
        <v>1</v>
      </c>
      <c r="E60" s="143">
        <v>0</v>
      </c>
      <c r="F60" s="143">
        <v>0.35</v>
      </c>
      <c r="G60" s="143">
        <v>0</v>
      </c>
      <c r="I60" s="155">
        <f t="shared" si="0"/>
        <v>7</v>
      </c>
      <c r="J60" s="155">
        <f t="shared" si="1"/>
        <v>4.4799999999999995</v>
      </c>
      <c r="K60" s="49"/>
    </row>
    <row r="61" spans="1:11">
      <c r="A61" s="49"/>
      <c r="B61" s="473"/>
      <c r="C61" s="145">
        <v>250</v>
      </c>
      <c r="D61" s="143">
        <v>1</v>
      </c>
      <c r="E61" s="143">
        <v>0</v>
      </c>
      <c r="F61" s="143">
        <v>0.61</v>
      </c>
      <c r="G61" s="143">
        <v>0</v>
      </c>
      <c r="I61" s="155">
        <f t="shared" si="0"/>
        <v>7</v>
      </c>
      <c r="J61" s="155">
        <f t="shared" si="1"/>
        <v>7.8079999999999998</v>
      </c>
      <c r="K61" s="49"/>
    </row>
    <row r="62" spans="1:11">
      <c r="A62" s="49"/>
      <c r="B62" s="473"/>
      <c r="C62" s="145">
        <v>300</v>
      </c>
      <c r="D62" s="143">
        <v>1</v>
      </c>
      <c r="E62" s="143">
        <v>0</v>
      </c>
      <c r="F62" s="143">
        <v>1</v>
      </c>
      <c r="G62" s="143">
        <v>0.01</v>
      </c>
      <c r="I62" s="155">
        <f t="shared" si="0"/>
        <v>7</v>
      </c>
      <c r="J62" s="155">
        <f t="shared" si="1"/>
        <v>12.938000000000001</v>
      </c>
      <c r="K62" s="49"/>
    </row>
    <row r="63" spans="1:11">
      <c r="A63" s="49"/>
      <c r="B63" s="473">
        <v>100</v>
      </c>
      <c r="C63" s="145">
        <v>100</v>
      </c>
      <c r="D63" s="143">
        <v>1</v>
      </c>
      <c r="E63" s="143">
        <v>0</v>
      </c>
      <c r="F63" s="143">
        <v>0.06</v>
      </c>
      <c r="G63" s="143">
        <v>0</v>
      </c>
      <c r="I63" s="155">
        <f t="shared" si="0"/>
        <v>7</v>
      </c>
      <c r="J63" s="155">
        <f t="shared" si="1"/>
        <v>0.76800000000000002</v>
      </c>
      <c r="K63" s="49"/>
    </row>
    <row r="64" spans="1:11">
      <c r="A64" s="49"/>
      <c r="B64" s="473"/>
      <c r="C64" s="145">
        <v>150</v>
      </c>
      <c r="D64" s="143">
        <v>1</v>
      </c>
      <c r="E64" s="143">
        <v>0</v>
      </c>
      <c r="F64" s="143">
        <v>0.2</v>
      </c>
      <c r="G64" s="143">
        <v>0</v>
      </c>
      <c r="I64" s="155">
        <f t="shared" si="0"/>
        <v>7</v>
      </c>
      <c r="J64" s="155">
        <f t="shared" si="1"/>
        <v>2.5600000000000005</v>
      </c>
      <c r="K64" s="49"/>
    </row>
    <row r="65" spans="1:11">
      <c r="A65" s="49"/>
      <c r="B65" s="473"/>
      <c r="C65" s="145">
        <v>200</v>
      </c>
      <c r="D65" s="143">
        <v>1</v>
      </c>
      <c r="E65" s="143">
        <v>0</v>
      </c>
      <c r="F65" s="143">
        <v>0.4</v>
      </c>
      <c r="G65" s="143">
        <v>0</v>
      </c>
      <c r="I65" s="155">
        <f t="shared" si="0"/>
        <v>7</v>
      </c>
      <c r="J65" s="155">
        <f t="shared" si="1"/>
        <v>5.120000000000001</v>
      </c>
      <c r="K65" s="49"/>
    </row>
    <row r="66" spans="1:11">
      <c r="A66" s="49"/>
      <c r="B66" s="473"/>
      <c r="C66" s="145">
        <v>250</v>
      </c>
      <c r="D66" s="143">
        <v>1</v>
      </c>
      <c r="E66" s="143">
        <v>0</v>
      </c>
      <c r="F66" s="143">
        <v>0.78</v>
      </c>
      <c r="G66" s="143">
        <v>0</v>
      </c>
      <c r="I66" s="155">
        <f t="shared" si="0"/>
        <v>7</v>
      </c>
      <c r="J66" s="155">
        <f t="shared" si="1"/>
        <v>9.9840000000000018</v>
      </c>
      <c r="K66" s="49"/>
    </row>
    <row r="67" spans="1:11">
      <c r="A67" s="49"/>
      <c r="B67" s="473"/>
      <c r="C67" s="145">
        <v>300</v>
      </c>
      <c r="D67" s="143">
        <v>1</v>
      </c>
      <c r="E67" s="143">
        <v>0</v>
      </c>
      <c r="F67" s="143">
        <v>1</v>
      </c>
      <c r="G67" s="143">
        <v>0.05</v>
      </c>
      <c r="I67" s="155">
        <f t="shared" si="0"/>
        <v>7</v>
      </c>
      <c r="J67" s="155">
        <f t="shared" si="1"/>
        <v>13.49</v>
      </c>
      <c r="K67" s="49"/>
    </row>
    <row r="68" spans="1:11">
      <c r="A68" s="49"/>
      <c r="B68" s="473">
        <v>150</v>
      </c>
      <c r="C68" s="145">
        <v>150</v>
      </c>
      <c r="D68" s="143">
        <v>1</v>
      </c>
      <c r="E68" s="143">
        <v>0</v>
      </c>
      <c r="F68" s="143">
        <v>0.2</v>
      </c>
      <c r="G68" s="143">
        <v>0</v>
      </c>
      <c r="I68" s="155">
        <f t="shared" si="0"/>
        <v>7</v>
      </c>
      <c r="J68" s="155">
        <f t="shared" si="1"/>
        <v>2.5600000000000005</v>
      </c>
      <c r="K68" s="49"/>
    </row>
    <row r="69" spans="1:11">
      <c r="A69" s="49"/>
      <c r="B69" s="473"/>
      <c r="C69" s="145">
        <v>200</v>
      </c>
      <c r="D69" s="143">
        <v>1</v>
      </c>
      <c r="E69" s="143">
        <v>0</v>
      </c>
      <c r="F69" s="143">
        <v>0.4</v>
      </c>
      <c r="G69" s="143">
        <v>0</v>
      </c>
      <c r="I69" s="155">
        <f t="shared" si="0"/>
        <v>7</v>
      </c>
      <c r="J69" s="155">
        <f t="shared" si="1"/>
        <v>5.120000000000001</v>
      </c>
      <c r="K69" s="49"/>
    </row>
    <row r="70" spans="1:11">
      <c r="A70" s="49"/>
      <c r="B70" s="473"/>
      <c r="C70" s="145">
        <v>250</v>
      </c>
      <c r="D70" s="143">
        <v>1</v>
      </c>
      <c r="E70" s="143">
        <v>0</v>
      </c>
      <c r="F70" s="143">
        <v>0.82</v>
      </c>
      <c r="G70" s="143">
        <v>0</v>
      </c>
      <c r="I70" s="155">
        <f t="shared" si="0"/>
        <v>7</v>
      </c>
      <c r="J70" s="155">
        <f t="shared" si="1"/>
        <v>10.496</v>
      </c>
      <c r="K70" s="49"/>
    </row>
    <row r="71" spans="1:11">
      <c r="A71" s="49"/>
      <c r="B71" s="473"/>
      <c r="C71" s="145">
        <v>300</v>
      </c>
      <c r="D71" s="143">
        <v>1</v>
      </c>
      <c r="E71" s="143">
        <v>0</v>
      </c>
      <c r="F71" s="143">
        <v>1</v>
      </c>
      <c r="G71" s="143">
        <v>0.06</v>
      </c>
      <c r="I71" s="155">
        <f t="shared" si="0"/>
        <v>7</v>
      </c>
      <c r="J71" s="155">
        <f t="shared" si="1"/>
        <v>13.628</v>
      </c>
      <c r="K71" s="49"/>
    </row>
    <row r="72" spans="1:11">
      <c r="A72" s="49"/>
      <c r="B72" s="473">
        <v>200</v>
      </c>
      <c r="C72" s="145">
        <v>200</v>
      </c>
      <c r="D72" s="143">
        <v>1</v>
      </c>
      <c r="E72" s="143">
        <v>0</v>
      </c>
      <c r="F72" s="143">
        <v>0.4</v>
      </c>
      <c r="G72" s="143">
        <v>0</v>
      </c>
      <c r="I72" s="155">
        <f t="shared" si="0"/>
        <v>7</v>
      </c>
      <c r="J72" s="155">
        <f t="shared" si="1"/>
        <v>5.120000000000001</v>
      </c>
      <c r="K72" s="49"/>
    </row>
    <row r="73" spans="1:11">
      <c r="A73" s="49"/>
      <c r="B73" s="473"/>
      <c r="C73" s="145">
        <v>250</v>
      </c>
      <c r="D73" s="143">
        <v>1</v>
      </c>
      <c r="E73" s="143">
        <v>0</v>
      </c>
      <c r="F73" s="143">
        <v>0.82</v>
      </c>
      <c r="G73" s="143">
        <v>0</v>
      </c>
      <c r="I73" s="155">
        <f t="shared" si="0"/>
        <v>7</v>
      </c>
      <c r="J73" s="155">
        <f t="shared" si="1"/>
        <v>10.496</v>
      </c>
      <c r="K73" s="49"/>
    </row>
    <row r="74" spans="1:11">
      <c r="A74" s="49"/>
      <c r="B74" s="473"/>
      <c r="C74" s="145">
        <v>300</v>
      </c>
      <c r="D74" s="143">
        <v>1</v>
      </c>
      <c r="E74" s="143">
        <v>0</v>
      </c>
      <c r="F74" s="143">
        <v>1</v>
      </c>
      <c r="G74" s="143">
        <v>7.0000000000000007E-2</v>
      </c>
      <c r="I74" s="155">
        <f t="shared" si="0"/>
        <v>7</v>
      </c>
      <c r="J74" s="155">
        <f t="shared" si="1"/>
        <v>13.766000000000002</v>
      </c>
      <c r="K74" s="49"/>
    </row>
    <row r="75" spans="1:11">
      <c r="A75" s="49"/>
      <c r="B75" s="49"/>
      <c r="C75" s="49"/>
      <c r="D75" s="49"/>
      <c r="E75" s="49"/>
      <c r="F75" s="49"/>
      <c r="G75" s="49"/>
      <c r="K75" s="49"/>
    </row>
    <row r="76" spans="1:11">
      <c r="A76" s="49"/>
      <c r="B76" s="150" t="s">
        <v>195</v>
      </c>
      <c r="I76" s="49"/>
      <c r="J76" s="49"/>
      <c r="K76" s="49"/>
    </row>
    <row r="77" spans="1:11">
      <c r="A77" s="49"/>
      <c r="B77" s="150"/>
      <c r="K77" s="49"/>
    </row>
    <row r="78" spans="1:11">
      <c r="A78" s="49"/>
      <c r="B78" s="145" t="s">
        <v>194</v>
      </c>
      <c r="C78" s="154" t="s">
        <v>193</v>
      </c>
      <c r="D78" s="154" t="s">
        <v>192</v>
      </c>
      <c r="E78" s="154" t="s">
        <v>191</v>
      </c>
      <c r="F78" s="144" t="s">
        <v>190</v>
      </c>
      <c r="K78" s="49"/>
    </row>
    <row r="79" spans="1:11">
      <c r="A79" s="49"/>
      <c r="B79" s="145" t="s">
        <v>107</v>
      </c>
      <c r="C79" s="16"/>
      <c r="D79" s="16"/>
      <c r="E79" s="16"/>
      <c r="F79" s="153" t="s">
        <v>189</v>
      </c>
      <c r="K79" s="49"/>
    </row>
    <row r="80" spans="1:11">
      <c r="A80" s="49"/>
      <c r="B80" s="145"/>
      <c r="C80" s="16"/>
      <c r="D80" s="16"/>
      <c r="E80" s="16"/>
      <c r="F80" s="48"/>
      <c r="K80" s="49"/>
    </row>
    <row r="81" spans="1:11">
      <c r="A81" s="49"/>
      <c r="B81" s="145">
        <v>50</v>
      </c>
      <c r="C81" s="145">
        <v>24</v>
      </c>
      <c r="D81" s="145" t="s">
        <v>186</v>
      </c>
      <c r="E81" s="145" t="s">
        <v>185</v>
      </c>
      <c r="F81" s="145">
        <v>20.100000000000001</v>
      </c>
      <c r="K81" s="49"/>
    </row>
    <row r="82" spans="1:11">
      <c r="A82" s="49"/>
      <c r="B82" s="145"/>
      <c r="C82" s="145">
        <v>36</v>
      </c>
      <c r="D82" s="145" t="s">
        <v>183</v>
      </c>
      <c r="E82" s="145" t="s">
        <v>188</v>
      </c>
      <c r="F82" s="145">
        <v>25.3</v>
      </c>
      <c r="K82" s="49"/>
    </row>
    <row r="83" spans="1:11" ht="14.4" thickBot="1">
      <c r="A83" s="49"/>
      <c r="B83" s="145"/>
      <c r="C83" s="145"/>
      <c r="D83" s="145"/>
      <c r="E83" s="145"/>
      <c r="F83" s="152">
        <f>F82+F81</f>
        <v>45.400000000000006</v>
      </c>
      <c r="K83" s="49"/>
    </row>
    <row r="84" spans="1:11">
      <c r="A84" s="49"/>
      <c r="B84" s="145"/>
      <c r="C84" s="145"/>
      <c r="D84" s="145"/>
      <c r="E84" s="145"/>
      <c r="F84" s="145"/>
      <c r="K84" s="49"/>
    </row>
    <row r="85" spans="1:11">
      <c r="A85" s="49"/>
      <c r="B85" s="145">
        <v>100</v>
      </c>
      <c r="C85" s="145">
        <v>24</v>
      </c>
      <c r="D85" s="145" t="s">
        <v>186</v>
      </c>
      <c r="E85" s="145" t="s">
        <v>185</v>
      </c>
      <c r="F85" s="145">
        <v>20.100000000000001</v>
      </c>
      <c r="K85" s="49"/>
    </row>
    <row r="86" spans="1:11">
      <c r="A86" s="49"/>
      <c r="B86" s="145"/>
      <c r="C86" s="145">
        <v>36</v>
      </c>
      <c r="D86" s="145" t="s">
        <v>183</v>
      </c>
      <c r="E86" s="145" t="s">
        <v>188</v>
      </c>
      <c r="F86" s="145">
        <v>25.3</v>
      </c>
      <c r="K86" s="49"/>
    </row>
    <row r="87" spans="1:11">
      <c r="A87" s="49"/>
      <c r="B87" s="145"/>
      <c r="C87" s="145">
        <v>36</v>
      </c>
      <c r="D87" s="145" t="s">
        <v>187</v>
      </c>
      <c r="E87" s="145" t="s">
        <v>182</v>
      </c>
      <c r="F87" s="145">
        <v>32.799999999999997</v>
      </c>
      <c r="K87" s="49"/>
    </row>
    <row r="88" spans="1:11" ht="14.4" thickBot="1">
      <c r="A88" s="49"/>
      <c r="B88" s="145"/>
      <c r="C88" s="145"/>
      <c r="D88" s="145"/>
      <c r="E88" s="145"/>
      <c r="F88" s="152">
        <f>SUM(F85:F87)</f>
        <v>78.2</v>
      </c>
      <c r="K88" s="49"/>
    </row>
    <row r="89" spans="1:11">
      <c r="A89" s="49"/>
      <c r="B89" s="145"/>
      <c r="C89" s="145"/>
      <c r="D89" s="145"/>
      <c r="E89" s="145"/>
      <c r="F89" s="145"/>
      <c r="K89" s="49"/>
    </row>
    <row r="90" spans="1:11">
      <c r="A90" s="49"/>
      <c r="B90" s="145">
        <v>150</v>
      </c>
      <c r="C90" s="145">
        <v>36</v>
      </c>
      <c r="D90" s="145" t="s">
        <v>186</v>
      </c>
      <c r="E90" s="145" t="s">
        <v>185</v>
      </c>
      <c r="F90" s="145">
        <v>20.100000000000001</v>
      </c>
      <c r="K90" s="49"/>
    </row>
    <row r="91" spans="1:11">
      <c r="A91" s="49"/>
      <c r="B91" s="145"/>
      <c r="C91" s="145">
        <v>36</v>
      </c>
      <c r="D91" s="145" t="s">
        <v>183</v>
      </c>
      <c r="E91" s="145" t="s">
        <v>184</v>
      </c>
      <c r="F91" s="145">
        <v>103.3</v>
      </c>
      <c r="K91" s="49"/>
    </row>
    <row r="92" spans="1:11" ht="14.4" thickBot="1">
      <c r="A92" s="49"/>
      <c r="B92" s="145"/>
      <c r="C92" s="145"/>
      <c r="D92" s="145"/>
      <c r="E92" s="145"/>
      <c r="F92" s="152">
        <f>F91+F90</f>
        <v>123.4</v>
      </c>
      <c r="K92" s="49"/>
    </row>
    <row r="93" spans="1:11">
      <c r="A93" s="49"/>
      <c r="B93" s="145"/>
      <c r="C93" s="145"/>
      <c r="D93" s="145"/>
      <c r="E93" s="145"/>
      <c r="F93" s="145"/>
      <c r="K93" s="49"/>
    </row>
    <row r="94" spans="1:11">
      <c r="A94" s="49"/>
      <c r="B94" s="145">
        <v>200</v>
      </c>
      <c r="C94" s="145">
        <v>42</v>
      </c>
      <c r="D94" s="145" t="s">
        <v>186</v>
      </c>
      <c r="E94" s="145" t="s">
        <v>185</v>
      </c>
      <c r="F94" s="145">
        <v>20.100000000000001</v>
      </c>
      <c r="K94" s="49"/>
    </row>
    <row r="95" spans="1:11">
      <c r="A95" s="49"/>
      <c r="B95" s="16"/>
      <c r="C95" s="145">
        <v>42</v>
      </c>
      <c r="D95" s="145" t="s">
        <v>182</v>
      </c>
      <c r="E95" s="145" t="s">
        <v>184</v>
      </c>
      <c r="F95" s="145">
        <v>32.700000000000003</v>
      </c>
      <c r="K95" s="49"/>
    </row>
    <row r="96" spans="1:11">
      <c r="A96" s="49"/>
      <c r="C96" s="145">
        <v>48</v>
      </c>
      <c r="D96" s="145" t="s">
        <v>183</v>
      </c>
      <c r="E96" s="145" t="s">
        <v>182</v>
      </c>
      <c r="F96" s="145">
        <v>70.7</v>
      </c>
      <c r="K96" s="49"/>
    </row>
    <row r="97" spans="1:11" ht="14.4" thickBot="1">
      <c r="A97" s="49"/>
      <c r="F97" s="152">
        <f>F96+F95+F94</f>
        <v>123.5</v>
      </c>
      <c r="K97" s="49"/>
    </row>
    <row r="98" spans="1:11">
      <c r="A98" s="49"/>
      <c r="K98" s="49"/>
    </row>
    <row r="99" spans="1:11">
      <c r="A99" s="49"/>
      <c r="B99" s="151"/>
      <c r="C99" s="151"/>
      <c r="D99" s="151"/>
      <c r="E99" s="151"/>
      <c r="F99" s="151"/>
      <c r="G99" s="151"/>
      <c r="H99" s="151"/>
      <c r="K99" s="49"/>
    </row>
    <row r="100" spans="1:11">
      <c r="A100" s="49"/>
      <c r="I100" s="16"/>
      <c r="J100" s="16"/>
      <c r="K100" s="49"/>
    </row>
    <row r="101" spans="1:11">
      <c r="A101" s="49"/>
      <c r="B101" s="150" t="s">
        <v>181</v>
      </c>
      <c r="I101" s="16"/>
      <c r="J101" s="16"/>
      <c r="K101" s="49"/>
    </row>
    <row r="102" spans="1:11">
      <c r="A102" s="49"/>
      <c r="B102" s="150"/>
      <c r="K102" s="49"/>
    </row>
    <row r="103" spans="1:11" ht="52.8">
      <c r="A103" s="49"/>
      <c r="B103" s="149"/>
      <c r="C103" s="148"/>
      <c r="D103" s="148" t="s">
        <v>180</v>
      </c>
      <c r="E103" s="145" t="s">
        <v>179</v>
      </c>
      <c r="G103" s="105" t="s">
        <v>178</v>
      </c>
      <c r="H103" s="16"/>
      <c r="K103" s="49"/>
    </row>
    <row r="104" spans="1:11">
      <c r="A104" s="49"/>
      <c r="B104" s="147" t="s">
        <v>113</v>
      </c>
      <c r="C104" s="147" t="s">
        <v>112</v>
      </c>
      <c r="D104" s="146"/>
      <c r="E104" s="146"/>
      <c r="F104" s="144" t="s">
        <v>177</v>
      </c>
      <c r="G104" s="144" t="s">
        <v>176</v>
      </c>
      <c r="H104" s="94"/>
      <c r="K104" s="49"/>
    </row>
    <row r="105" spans="1:11">
      <c r="A105" s="49"/>
      <c r="B105" s="145" t="s">
        <v>107</v>
      </c>
      <c r="C105" s="145" t="s">
        <v>106</v>
      </c>
      <c r="D105" s="145"/>
      <c r="F105" s="144"/>
      <c r="G105" s="144"/>
      <c r="K105" s="49"/>
    </row>
    <row r="106" spans="1:11">
      <c r="A106" s="49"/>
      <c r="K106" s="49"/>
    </row>
    <row r="107" spans="1:11">
      <c r="A107" s="49"/>
      <c r="B107" s="13">
        <v>50</v>
      </c>
      <c r="D107" s="143">
        <v>1</v>
      </c>
      <c r="F107" s="105">
        <f>D107*1+E107*6</f>
        <v>1</v>
      </c>
      <c r="G107" s="142">
        <v>0</v>
      </c>
      <c r="K107" s="49"/>
    </row>
    <row r="108" spans="1:11">
      <c r="A108" s="49"/>
      <c r="B108" s="13">
        <v>100</v>
      </c>
      <c r="D108" s="143">
        <v>1</v>
      </c>
      <c r="F108" s="105">
        <f>D108*1+E108*6</f>
        <v>1</v>
      </c>
      <c r="G108" s="142">
        <v>0</v>
      </c>
      <c r="K108" s="49"/>
    </row>
    <row r="109" spans="1:11">
      <c r="A109" s="49"/>
      <c r="D109" s="143"/>
      <c r="F109" s="105"/>
      <c r="G109" s="142"/>
      <c r="K109" s="49"/>
    </row>
    <row r="110" spans="1:11">
      <c r="A110" s="49"/>
      <c r="B110" s="13">
        <v>150</v>
      </c>
      <c r="E110" s="143">
        <v>1</v>
      </c>
      <c r="F110" s="105">
        <f>D110*1+E110*6</f>
        <v>6</v>
      </c>
      <c r="G110" s="142">
        <v>0</v>
      </c>
      <c r="K110" s="49"/>
    </row>
    <row r="111" spans="1:11">
      <c r="A111" s="49"/>
      <c r="B111" s="13">
        <v>200</v>
      </c>
      <c r="E111" s="143">
        <v>1</v>
      </c>
      <c r="F111" s="105">
        <f>D111*1+E111*6</f>
        <v>6</v>
      </c>
      <c r="G111" s="142">
        <v>0</v>
      </c>
      <c r="K111" s="49"/>
    </row>
    <row r="112" spans="1:11">
      <c r="A112" s="49"/>
      <c r="K112" s="49"/>
    </row>
    <row r="113" spans="1:28" s="87" customFormat="1"/>
    <row r="114" spans="1:28">
      <c r="A114" s="49"/>
      <c r="K114" s="49"/>
      <c r="T114" s="49"/>
      <c r="U114" s="49"/>
      <c r="V114" s="49"/>
      <c r="W114" s="49"/>
      <c r="X114" s="49"/>
      <c r="Y114" s="49"/>
      <c r="Z114" s="49"/>
      <c r="AA114" s="49"/>
      <c r="AB114" s="49"/>
    </row>
    <row r="115" spans="1:28">
      <c r="A115" s="49"/>
      <c r="K115" s="49"/>
      <c r="T115" s="49"/>
      <c r="U115" s="49"/>
      <c r="V115" s="49"/>
      <c r="W115" s="49"/>
      <c r="X115" s="49"/>
      <c r="Y115" s="49"/>
      <c r="Z115" s="49"/>
      <c r="AA115" s="49"/>
      <c r="AB115" s="49"/>
    </row>
    <row r="116" spans="1:28">
      <c r="A116" s="49"/>
      <c r="K116" s="125" t="s">
        <v>175</v>
      </c>
      <c r="T116" s="49"/>
      <c r="U116" s="49"/>
      <c r="V116" s="49"/>
      <c r="W116" s="49"/>
      <c r="X116" s="49"/>
      <c r="Y116" s="49"/>
      <c r="Z116" s="49"/>
      <c r="AA116" s="49"/>
      <c r="AB116" s="49"/>
    </row>
    <row r="117" spans="1:28">
      <c r="A117" s="49"/>
      <c r="B117" s="124" t="s">
        <v>174</v>
      </c>
      <c r="K117" s="49"/>
      <c r="T117" s="49"/>
      <c r="U117" s="49"/>
      <c r="V117" s="49"/>
      <c r="W117" s="49"/>
      <c r="X117" s="49"/>
      <c r="Y117" s="49"/>
      <c r="Z117" s="49"/>
      <c r="AA117" s="49"/>
      <c r="AB117" s="49"/>
    </row>
    <row r="118" spans="1:28">
      <c r="A118" s="49"/>
      <c r="B118" s="43"/>
      <c r="K118" s="49"/>
      <c r="T118" s="49"/>
      <c r="U118" s="49"/>
      <c r="V118" s="49"/>
      <c r="W118" s="49"/>
      <c r="X118" s="49"/>
      <c r="Y118" s="49"/>
      <c r="Z118" s="49"/>
      <c r="AA118" s="49"/>
      <c r="AB118" s="49"/>
    </row>
    <row r="119" spans="1:28">
      <c r="A119" s="49"/>
      <c r="B119" s="129" t="s">
        <v>173</v>
      </c>
      <c r="C119" s="94"/>
      <c r="D119" s="94"/>
      <c r="E119" s="94"/>
      <c r="K119" s="49"/>
      <c r="T119" s="49"/>
      <c r="U119" s="49"/>
      <c r="V119" s="49"/>
      <c r="W119" s="49"/>
      <c r="X119" s="49"/>
      <c r="Y119" s="49"/>
      <c r="Z119" s="49"/>
      <c r="AA119" s="49"/>
      <c r="AB119" s="49"/>
    </row>
    <row r="120" spans="1:28">
      <c r="A120" s="49"/>
      <c r="B120" s="94" t="s">
        <v>172</v>
      </c>
      <c r="C120" s="94"/>
      <c r="D120" s="107">
        <f>D15</f>
        <v>14101.476000000001</v>
      </c>
      <c r="E120" s="141" t="s">
        <v>171</v>
      </c>
      <c r="K120" s="49"/>
      <c r="T120" s="49"/>
      <c r="U120" s="49"/>
      <c r="V120" s="49"/>
      <c r="W120" s="49"/>
      <c r="X120" s="49"/>
      <c r="Y120" s="49"/>
      <c r="Z120" s="49"/>
      <c r="AA120" s="49"/>
      <c r="AB120" s="49"/>
    </row>
    <row r="121" spans="1:28">
      <c r="A121" s="49"/>
      <c r="B121" s="94" t="s">
        <v>170</v>
      </c>
      <c r="C121" s="94"/>
      <c r="D121" s="107">
        <f>D16</f>
        <v>146</v>
      </c>
      <c r="E121" s="141" t="s">
        <v>169</v>
      </c>
      <c r="T121" s="49"/>
      <c r="U121" s="49"/>
      <c r="V121" s="49"/>
      <c r="W121" s="49"/>
      <c r="X121" s="49"/>
      <c r="Y121" s="49"/>
      <c r="Z121" s="49"/>
      <c r="AA121" s="49"/>
      <c r="AB121" s="49"/>
    </row>
    <row r="122" spans="1:28">
      <c r="A122" s="49"/>
      <c r="B122" s="94" t="s">
        <v>168</v>
      </c>
      <c r="C122" s="94"/>
      <c r="D122" s="107">
        <f>D17</f>
        <v>2337</v>
      </c>
      <c r="E122" s="141" t="s">
        <v>103</v>
      </c>
      <c r="T122" s="49"/>
      <c r="U122" s="49"/>
      <c r="V122" s="49"/>
      <c r="W122" s="49"/>
      <c r="X122" s="49"/>
      <c r="Y122" s="49"/>
      <c r="Z122" s="49"/>
      <c r="AA122" s="49"/>
      <c r="AB122" s="49"/>
    </row>
    <row r="123" spans="1:28">
      <c r="A123" s="49"/>
      <c r="B123" s="94" t="s">
        <v>167</v>
      </c>
      <c r="C123" s="94"/>
      <c r="D123" s="107" t="e">
        <f>D18</f>
        <v>#REF!</v>
      </c>
      <c r="E123" s="141" t="s">
        <v>166</v>
      </c>
      <c r="T123" s="49"/>
      <c r="U123" s="49"/>
      <c r="V123" s="49"/>
      <c r="W123" s="49"/>
      <c r="X123" s="49"/>
      <c r="Y123" s="49"/>
      <c r="Z123" s="49"/>
      <c r="AA123" s="49"/>
      <c r="AB123" s="49"/>
    </row>
    <row r="124" spans="1:28">
      <c r="A124" s="49"/>
      <c r="B124" s="94"/>
      <c r="C124" s="94"/>
      <c r="D124" s="107"/>
      <c r="E124" s="141"/>
      <c r="T124" s="49"/>
      <c r="U124" s="49"/>
      <c r="V124" s="49"/>
      <c r="W124" s="49"/>
      <c r="X124" s="49"/>
      <c r="Y124" s="49"/>
      <c r="Z124" s="49"/>
      <c r="AA124" s="49"/>
      <c r="AB124" s="49"/>
    </row>
    <row r="125" spans="1:28">
      <c r="A125" s="49"/>
      <c r="B125" s="94"/>
      <c r="C125" s="94"/>
      <c r="D125" s="107"/>
      <c r="E125" s="141"/>
      <c r="T125" s="49"/>
      <c r="U125" s="49"/>
      <c r="V125" s="49"/>
      <c r="W125" s="49"/>
      <c r="X125" s="49"/>
      <c r="Y125" s="49"/>
      <c r="Z125" s="49"/>
      <c r="AA125" s="49"/>
      <c r="AB125" s="49"/>
    </row>
    <row r="126" spans="1:28">
      <c r="A126" s="49"/>
      <c r="B126" s="129" t="s">
        <v>165</v>
      </c>
      <c r="C126" s="94"/>
      <c r="D126" s="107"/>
      <c r="E126" s="141"/>
      <c r="T126" s="49"/>
      <c r="U126" s="49"/>
      <c r="V126" s="49"/>
      <c r="W126" s="49"/>
      <c r="X126" s="49"/>
      <c r="Y126" s="49"/>
      <c r="Z126" s="49"/>
      <c r="AA126" s="49"/>
      <c r="AB126" s="49"/>
    </row>
    <row r="127" spans="1:28">
      <c r="A127" s="49"/>
      <c r="B127" s="139" t="s">
        <v>164</v>
      </c>
      <c r="C127" s="139"/>
      <c r="D127" s="138" t="e">
        <f>E36*1000</f>
        <v>#REF!</v>
      </c>
      <c r="E127" s="137" t="s">
        <v>163</v>
      </c>
      <c r="F127" s="49"/>
      <c r="T127" s="49"/>
      <c r="U127" s="49"/>
      <c r="V127" s="49"/>
      <c r="W127" s="49"/>
      <c r="X127" s="49"/>
      <c r="Y127" s="49"/>
      <c r="Z127" s="49"/>
      <c r="AA127" s="49"/>
      <c r="AB127" s="49"/>
    </row>
    <row r="128" spans="1:28">
      <c r="A128" s="49"/>
      <c r="B128" s="139"/>
      <c r="C128" s="139"/>
      <c r="D128" s="139"/>
      <c r="E128" s="140"/>
      <c r="F128" s="49"/>
      <c r="T128" s="49"/>
      <c r="U128" s="49"/>
      <c r="V128" s="49"/>
      <c r="W128" s="49"/>
      <c r="X128" s="49"/>
      <c r="Y128" s="49"/>
      <c r="Z128" s="49"/>
      <c r="AA128" s="49"/>
      <c r="AB128" s="49"/>
    </row>
    <row r="129" spans="1:28">
      <c r="A129" s="49"/>
      <c r="B129" s="139" t="s">
        <v>162</v>
      </c>
      <c r="C129" s="139"/>
      <c r="D129" s="133" t="e">
        <f>'Net Plant'!K8*1000</f>
        <v>#REF!</v>
      </c>
      <c r="E129" s="137" t="s">
        <v>161</v>
      </c>
      <c r="T129" s="49"/>
      <c r="U129" s="49"/>
      <c r="V129" s="49"/>
      <c r="W129" s="49"/>
      <c r="X129" s="49"/>
      <c r="Y129" s="49"/>
      <c r="Z129" s="49"/>
      <c r="AA129" s="49"/>
      <c r="AB129" s="49"/>
    </row>
    <row r="130" spans="1:28">
      <c r="A130" s="49"/>
      <c r="B130" s="139"/>
      <c r="C130" s="139"/>
      <c r="D130" s="138"/>
      <c r="E130" s="137"/>
      <c r="F130" s="49"/>
      <c r="T130" s="49"/>
      <c r="U130" s="49"/>
      <c r="V130" s="49"/>
      <c r="W130" s="49"/>
      <c r="X130" s="49"/>
      <c r="Y130" s="49"/>
      <c r="Z130" s="49"/>
      <c r="AA130" s="49"/>
      <c r="AB130" s="49"/>
    </row>
    <row r="131" spans="1:28">
      <c r="A131" s="49"/>
      <c r="B131" s="94"/>
      <c r="C131" s="94"/>
      <c r="D131" s="136"/>
      <c r="E131" s="102"/>
      <c r="T131" s="49"/>
      <c r="U131" s="49"/>
      <c r="V131" s="49"/>
      <c r="W131" s="49"/>
      <c r="X131" s="49"/>
      <c r="Y131" s="49"/>
      <c r="Z131" s="49"/>
      <c r="AA131" s="49"/>
      <c r="AB131" s="49"/>
    </row>
    <row r="132" spans="1:28">
      <c r="A132" s="49"/>
      <c r="B132" s="94"/>
      <c r="C132" s="94"/>
      <c r="D132" s="105" t="s">
        <v>160</v>
      </c>
      <c r="E132" s="102"/>
      <c r="F132" s="135" t="s">
        <v>159</v>
      </c>
      <c r="T132" s="49"/>
      <c r="U132" s="49"/>
      <c r="V132" s="49"/>
      <c r="W132" s="49"/>
      <c r="X132" s="49"/>
      <c r="Y132" s="49"/>
      <c r="Z132" s="49"/>
      <c r="AA132" s="49"/>
      <c r="AB132" s="49"/>
    </row>
    <row r="133" spans="1:28">
      <c r="A133" s="49"/>
      <c r="B133" s="94"/>
      <c r="C133" s="94"/>
      <c r="D133" s="110" t="s">
        <v>158</v>
      </c>
      <c r="E133" s="102"/>
      <c r="F133" s="110" t="s">
        <v>157</v>
      </c>
      <c r="T133" s="49"/>
      <c r="U133" s="49"/>
      <c r="V133" s="49"/>
      <c r="W133" s="49"/>
      <c r="X133" s="49"/>
      <c r="Y133" s="49"/>
      <c r="Z133" s="49"/>
      <c r="AA133" s="49"/>
      <c r="AB133" s="49"/>
    </row>
    <row r="134" spans="1:28">
      <c r="A134" s="49"/>
      <c r="B134" s="94" t="s">
        <v>156</v>
      </c>
      <c r="C134" s="94"/>
      <c r="D134" s="133" t="e">
        <f>'Net Plant'!K13*1000</f>
        <v>#REF!</v>
      </c>
      <c r="E134" s="102" t="s">
        <v>155</v>
      </c>
      <c r="F134" s="132" t="e">
        <f>D134/$D$129*$D$127</f>
        <v>#REF!</v>
      </c>
      <c r="G134" s="102" t="str">
        <f>"K = ("&amp;E134&amp;"/F) x E"</f>
        <v>K = (G/F) x E</v>
      </c>
      <c r="T134" s="49"/>
      <c r="U134" s="49"/>
      <c r="V134" s="49"/>
      <c r="W134" s="49"/>
      <c r="X134" s="49"/>
      <c r="Y134" s="49"/>
      <c r="Z134" s="49"/>
      <c r="AA134" s="49"/>
      <c r="AB134" s="49"/>
    </row>
    <row r="135" spans="1:28">
      <c r="A135" s="49"/>
      <c r="B135" s="94" t="s">
        <v>154</v>
      </c>
      <c r="C135" s="94"/>
      <c r="D135" s="133" t="e">
        <f>'Net Plant'!K14*1000</f>
        <v>#REF!</v>
      </c>
      <c r="E135" s="102" t="s">
        <v>153</v>
      </c>
      <c r="F135" s="132" t="e">
        <f>D135/$D$129*$D$127</f>
        <v>#REF!</v>
      </c>
      <c r="G135" s="102" t="str">
        <f>"L = ("&amp;E135&amp;"/F) x E"</f>
        <v>L = (H/F) x E</v>
      </c>
      <c r="T135" s="49"/>
      <c r="U135" s="49"/>
      <c r="V135" s="49"/>
      <c r="W135" s="49"/>
      <c r="X135" s="49"/>
      <c r="Y135" s="49"/>
      <c r="Z135" s="49"/>
      <c r="AA135" s="49"/>
      <c r="AB135" s="49"/>
    </row>
    <row r="136" spans="1:28">
      <c r="A136" s="49"/>
      <c r="B136" s="94" t="s">
        <v>152</v>
      </c>
      <c r="C136" s="94"/>
      <c r="D136" s="133" t="e">
        <f>'Net Plant'!K15*1000</f>
        <v>#REF!</v>
      </c>
      <c r="E136" s="102" t="s">
        <v>151</v>
      </c>
      <c r="F136" s="132" t="e">
        <f>D136/$D$129*$D$127</f>
        <v>#REF!</v>
      </c>
      <c r="G136" s="102" t="str">
        <f>"M = ("&amp;E136&amp;"/F) x E"</f>
        <v>M = (I/F) x E</v>
      </c>
      <c r="T136" s="49"/>
      <c r="U136" s="49"/>
      <c r="V136" s="49"/>
      <c r="W136" s="49"/>
      <c r="X136" s="49"/>
      <c r="Y136" s="49"/>
      <c r="Z136" s="49"/>
      <c r="AA136" s="49"/>
      <c r="AB136" s="49"/>
    </row>
    <row r="137" spans="1:28">
      <c r="A137" s="49"/>
      <c r="B137" s="94" t="s">
        <v>150</v>
      </c>
      <c r="C137" s="94"/>
      <c r="D137" s="133" t="e">
        <f>'Net Plant'!K16*1000</f>
        <v>#REF!</v>
      </c>
      <c r="E137" s="102" t="s">
        <v>149</v>
      </c>
      <c r="F137" s="132" t="e">
        <f>D137/$D$129*$D$127</f>
        <v>#REF!</v>
      </c>
      <c r="G137" s="102" t="str">
        <f>"N = ("&amp;E137&amp;"/F) x E"</f>
        <v>N = (J/F) x E</v>
      </c>
      <c r="T137" s="49"/>
      <c r="U137" s="49"/>
      <c r="V137" s="49"/>
      <c r="W137" s="49"/>
      <c r="X137" s="49"/>
      <c r="Y137" s="49"/>
      <c r="Z137" s="49"/>
      <c r="AA137" s="49"/>
      <c r="AB137" s="49"/>
    </row>
    <row r="138" spans="1:28">
      <c r="A138" s="49"/>
      <c r="B138" s="94"/>
      <c r="C138" s="94"/>
      <c r="D138" s="131"/>
      <c r="E138" s="130"/>
      <c r="T138" s="49"/>
      <c r="U138" s="49"/>
      <c r="V138" s="49"/>
      <c r="W138" s="49"/>
      <c r="X138" s="49"/>
      <c r="Y138" s="49"/>
      <c r="Z138" s="49"/>
      <c r="AA138" s="49"/>
      <c r="AB138" s="49"/>
    </row>
    <row r="139" spans="1:28">
      <c r="A139" s="49"/>
      <c r="B139" s="94"/>
      <c r="C139" s="94"/>
      <c r="D139" s="131"/>
      <c r="E139" s="130"/>
      <c r="T139" s="49"/>
      <c r="U139" s="49"/>
      <c r="V139" s="49"/>
      <c r="W139" s="49"/>
      <c r="X139" s="49"/>
      <c r="Y139" s="49"/>
      <c r="Z139" s="49"/>
      <c r="AA139" s="49"/>
      <c r="AB139" s="49"/>
    </row>
    <row r="140" spans="1:28">
      <c r="A140" s="49"/>
      <c r="B140" s="129" t="s">
        <v>148</v>
      </c>
      <c r="C140" s="94"/>
      <c r="D140" s="94"/>
      <c r="E140" s="105"/>
      <c r="T140" s="49"/>
      <c r="U140" s="49"/>
      <c r="V140" s="49"/>
      <c r="W140" s="49"/>
      <c r="X140" s="49"/>
      <c r="Y140" s="49"/>
      <c r="Z140" s="49"/>
      <c r="AA140" s="49"/>
      <c r="AB140" s="49"/>
    </row>
    <row r="141" spans="1:28">
      <c r="A141" s="49"/>
      <c r="B141" s="94" t="s">
        <v>147</v>
      </c>
      <c r="C141" s="94" t="s">
        <v>146</v>
      </c>
      <c r="D141" s="136" t="e">
        <f>F134/D120</f>
        <v>#REF!</v>
      </c>
      <c r="E141" s="102" t="s">
        <v>145</v>
      </c>
      <c r="T141" s="49"/>
      <c r="U141" s="49"/>
      <c r="V141" s="49"/>
      <c r="W141" s="49"/>
      <c r="X141" s="49"/>
      <c r="Y141" s="49"/>
      <c r="Z141" s="49"/>
      <c r="AA141" s="49"/>
      <c r="AB141" s="49"/>
    </row>
    <row r="142" spans="1:28">
      <c r="A142" s="49"/>
      <c r="B142" s="94" t="s">
        <v>144</v>
      </c>
      <c r="C142" s="94" t="s">
        <v>143</v>
      </c>
      <c r="D142" s="136" t="e">
        <f>F135/D121</f>
        <v>#REF!</v>
      </c>
      <c r="E142" s="102" t="s">
        <v>142</v>
      </c>
      <c r="T142" s="49"/>
      <c r="U142" s="49"/>
      <c r="V142" s="49"/>
      <c r="W142" s="49"/>
      <c r="X142" s="49"/>
      <c r="Y142" s="49"/>
      <c r="Z142" s="49"/>
      <c r="AA142" s="49"/>
      <c r="AB142" s="49"/>
    </row>
    <row r="143" spans="1:28">
      <c r="A143" s="49"/>
      <c r="B143" s="94" t="s">
        <v>141</v>
      </c>
      <c r="C143" s="94" t="s">
        <v>140</v>
      </c>
      <c r="D143" s="136" t="e">
        <f>F136/D122</f>
        <v>#REF!</v>
      </c>
      <c r="E143" s="102" t="s">
        <v>139</v>
      </c>
      <c r="T143" s="49"/>
      <c r="U143" s="49"/>
      <c r="V143" s="49"/>
      <c r="W143" s="49"/>
      <c r="X143" s="49"/>
      <c r="Y143" s="49"/>
      <c r="Z143" s="49"/>
      <c r="AA143" s="49"/>
      <c r="AB143" s="49"/>
    </row>
    <row r="144" spans="1:28">
      <c r="A144" s="49"/>
      <c r="B144" s="94" t="s">
        <v>138</v>
      </c>
      <c r="C144" s="94" t="s">
        <v>137</v>
      </c>
      <c r="D144" s="127" t="e">
        <f>F137/D123</f>
        <v>#REF!</v>
      </c>
      <c r="E144" s="102" t="s">
        <v>136</v>
      </c>
      <c r="T144" s="49"/>
      <c r="U144" s="49"/>
      <c r="V144" s="49"/>
      <c r="W144" s="49"/>
      <c r="X144" s="49"/>
      <c r="Y144" s="49"/>
      <c r="Z144" s="49"/>
      <c r="AA144" s="49"/>
      <c r="AB144" s="49"/>
    </row>
    <row r="145" spans="1:28">
      <c r="A145" s="49"/>
      <c r="B145" s="94" t="s">
        <v>135</v>
      </c>
      <c r="C145" s="94" t="s">
        <v>97</v>
      </c>
      <c r="D145" s="126" t="e">
        <f>D45</f>
        <v>#REF!</v>
      </c>
      <c r="E145" s="102" t="s">
        <v>134</v>
      </c>
      <c r="F145" s="94"/>
      <c r="T145" s="49"/>
      <c r="U145" s="49"/>
      <c r="V145" s="49"/>
      <c r="W145" s="49"/>
      <c r="X145" s="49"/>
      <c r="Y145" s="49"/>
      <c r="Z145" s="49"/>
      <c r="AA145" s="49"/>
      <c r="AB145" s="49"/>
    </row>
    <row r="146" spans="1:28">
      <c r="A146" s="49"/>
      <c r="T146" s="49"/>
      <c r="U146" s="49"/>
      <c r="V146" s="49"/>
      <c r="W146" s="49"/>
      <c r="X146" s="49"/>
      <c r="Y146" s="49"/>
      <c r="Z146" s="49"/>
      <c r="AA146" s="49"/>
      <c r="AB146" s="49"/>
    </row>
    <row r="147" spans="1:28">
      <c r="T147" s="49"/>
      <c r="U147" s="49"/>
      <c r="V147" s="49"/>
      <c r="W147" s="49"/>
      <c r="X147" s="49"/>
      <c r="Y147" s="49"/>
      <c r="Z147" s="49"/>
      <c r="AA147" s="49"/>
      <c r="AB147" s="49"/>
    </row>
    <row r="148" spans="1:28" s="87" customFormat="1"/>
    <row r="149" spans="1:28">
      <c r="T149" s="49"/>
      <c r="U149" s="49"/>
      <c r="V149" s="49"/>
      <c r="W149" s="49"/>
      <c r="X149" s="49"/>
      <c r="Y149" s="49"/>
      <c r="Z149" s="49"/>
      <c r="AA149" s="49"/>
      <c r="AB149" s="49"/>
    </row>
    <row r="150" spans="1:28">
      <c r="A150" s="43" t="s">
        <v>133</v>
      </c>
      <c r="B150" s="94"/>
      <c r="C150" s="94"/>
      <c r="D150" s="94"/>
      <c r="E150" s="94"/>
      <c r="F150" s="94"/>
      <c r="G150" s="94"/>
      <c r="H150" s="94"/>
      <c r="I150" s="94"/>
      <c r="J150" s="94"/>
      <c r="K150" s="94"/>
      <c r="L150" s="94"/>
      <c r="M150" s="94"/>
      <c r="N150" s="94"/>
      <c r="T150" s="49"/>
      <c r="U150" s="49"/>
      <c r="V150" s="49"/>
      <c r="W150" s="49"/>
      <c r="X150" s="49"/>
      <c r="Y150" s="49"/>
      <c r="Z150" s="49"/>
      <c r="AA150" s="49"/>
      <c r="AB150" s="49"/>
    </row>
    <row r="151" spans="1:28">
      <c r="A151" s="9" t="s">
        <v>132</v>
      </c>
      <c r="B151" s="94"/>
      <c r="C151" s="94"/>
      <c r="D151" s="94"/>
      <c r="E151" s="94"/>
      <c r="F151" s="94"/>
      <c r="G151" s="94"/>
      <c r="H151" s="94"/>
      <c r="I151" s="94"/>
      <c r="J151" s="94"/>
      <c r="K151" s="125" t="s">
        <v>131</v>
      </c>
      <c r="L151" s="94"/>
      <c r="M151" s="94"/>
      <c r="N151" s="94"/>
      <c r="T151" s="49"/>
      <c r="U151" s="49"/>
      <c r="V151" s="49"/>
      <c r="W151" s="49"/>
      <c r="X151" s="49"/>
      <c r="Y151" s="49"/>
      <c r="Z151" s="49"/>
      <c r="AA151" s="49"/>
      <c r="AB151" s="49"/>
    </row>
    <row r="152" spans="1:28">
      <c r="A152" s="94"/>
      <c r="B152" s="94"/>
      <c r="C152" s="94"/>
      <c r="D152" s="94"/>
      <c r="E152" s="94"/>
      <c r="F152" s="94"/>
      <c r="G152" s="94"/>
      <c r="H152" s="94"/>
      <c r="I152" s="94"/>
      <c r="J152" s="94"/>
      <c r="K152" s="94"/>
      <c r="L152" s="94"/>
      <c r="M152" s="94"/>
      <c r="N152" s="94"/>
    </row>
    <row r="153" spans="1:28">
      <c r="A153" s="124" t="s">
        <v>130</v>
      </c>
      <c r="B153" s="94"/>
      <c r="C153" s="94"/>
      <c r="D153" s="94"/>
      <c r="E153" s="94"/>
      <c r="F153" s="94"/>
      <c r="G153" s="94"/>
      <c r="H153" s="94"/>
      <c r="I153" s="94"/>
      <c r="J153" s="94"/>
      <c r="K153" s="94"/>
      <c r="L153" s="94"/>
      <c r="M153" s="94"/>
      <c r="N153" s="94"/>
    </row>
    <row r="154" spans="1:28">
      <c r="A154" s="124"/>
      <c r="B154" s="94"/>
      <c r="C154" s="94"/>
      <c r="D154" s="94"/>
      <c r="E154" s="94"/>
      <c r="F154" s="94"/>
      <c r="G154" s="94"/>
      <c r="H154" s="94"/>
      <c r="I154" s="94"/>
      <c r="J154" s="94"/>
      <c r="K154" s="94"/>
      <c r="L154" s="94"/>
      <c r="M154" s="94"/>
      <c r="N154" s="94"/>
    </row>
    <row r="155" spans="1:28" ht="15.6">
      <c r="A155" s="123" t="s">
        <v>129</v>
      </c>
      <c r="B155" s="94"/>
      <c r="C155" s="94"/>
      <c r="D155" s="94"/>
      <c r="E155" s="94"/>
      <c r="F155" s="94"/>
      <c r="G155" s="94"/>
      <c r="H155" s="94"/>
      <c r="I155" s="94"/>
      <c r="J155" s="94"/>
      <c r="K155" s="94"/>
      <c r="L155" s="94"/>
      <c r="M155" s="94"/>
      <c r="N155" s="94"/>
    </row>
    <row r="156" spans="1:28">
      <c r="A156" s="9"/>
      <c r="B156" s="94"/>
      <c r="C156" s="94"/>
      <c r="D156" s="94"/>
      <c r="E156" s="94"/>
      <c r="F156" s="94"/>
      <c r="G156" s="94"/>
      <c r="H156" s="94"/>
      <c r="I156" s="94"/>
      <c r="J156" s="94"/>
      <c r="K156" s="94"/>
      <c r="L156" s="94"/>
      <c r="M156" s="94"/>
      <c r="N156" s="94"/>
    </row>
    <row r="157" spans="1:28" ht="16.2" thickBot="1">
      <c r="A157" s="113" t="s">
        <v>128</v>
      </c>
      <c r="B157" s="94"/>
      <c r="C157" s="94"/>
      <c r="D157" s="94"/>
      <c r="E157" s="94"/>
      <c r="F157" s="94"/>
      <c r="G157" s="94"/>
      <c r="H157" s="94"/>
      <c r="I157" s="94"/>
      <c r="J157" s="94"/>
      <c r="K157" s="94"/>
      <c r="L157" s="94"/>
      <c r="M157" s="94"/>
      <c r="N157" s="94"/>
    </row>
    <row r="158" spans="1:28" ht="14.4" thickBot="1">
      <c r="A158" s="94"/>
      <c r="B158" s="94"/>
      <c r="C158" s="94"/>
      <c r="D158" s="94"/>
      <c r="E158" s="94"/>
      <c r="F158" s="94"/>
      <c r="G158" s="105" t="s">
        <v>121</v>
      </c>
      <c r="H158" s="94"/>
      <c r="I158" s="94"/>
      <c r="J158" s="112" t="s">
        <v>120</v>
      </c>
      <c r="K158" s="91"/>
      <c r="L158" s="111"/>
      <c r="M158" s="94"/>
      <c r="N158" s="94"/>
    </row>
    <row r="159" spans="1:28">
      <c r="A159" s="105"/>
      <c r="B159" s="105"/>
      <c r="C159" s="105" t="s">
        <v>117</v>
      </c>
      <c r="D159" s="105" t="s">
        <v>119</v>
      </c>
      <c r="E159" s="105" t="s">
        <v>118</v>
      </c>
      <c r="F159" s="105" t="s">
        <v>117</v>
      </c>
      <c r="G159" s="105" t="s">
        <v>116</v>
      </c>
      <c r="H159" s="105" t="s">
        <v>115</v>
      </c>
      <c r="I159" s="105"/>
      <c r="J159" s="105" t="s">
        <v>110</v>
      </c>
      <c r="K159" s="105" t="s">
        <v>114</v>
      </c>
      <c r="L159" s="94"/>
      <c r="M159" s="94"/>
      <c r="N159" s="94"/>
    </row>
    <row r="160" spans="1:28">
      <c r="A160" s="110" t="s">
        <v>113</v>
      </c>
      <c r="B160" s="110" t="s">
        <v>112</v>
      </c>
      <c r="C160" s="110" t="s">
        <v>111</v>
      </c>
      <c r="D160" s="110" t="s">
        <v>111</v>
      </c>
      <c r="E160" s="110" t="s">
        <v>111</v>
      </c>
      <c r="F160" s="110" t="s">
        <v>110</v>
      </c>
      <c r="G160" s="110" t="s">
        <v>110</v>
      </c>
      <c r="H160" s="110" t="s">
        <v>110</v>
      </c>
      <c r="I160" s="110" t="s">
        <v>110</v>
      </c>
      <c r="J160" s="110" t="s">
        <v>109</v>
      </c>
      <c r="K160" s="110" t="s">
        <v>108</v>
      </c>
      <c r="L160" s="110" t="s">
        <v>1</v>
      </c>
      <c r="M160" s="94"/>
      <c r="N160" s="94"/>
    </row>
    <row r="161" spans="1:15">
      <c r="A161" s="105" t="s">
        <v>107</v>
      </c>
      <c r="B161" s="105" t="s">
        <v>106</v>
      </c>
      <c r="C161" s="105"/>
      <c r="D161" s="105"/>
      <c r="E161" s="105"/>
      <c r="F161" s="105" t="s">
        <v>105</v>
      </c>
      <c r="G161" s="105" t="s">
        <v>105</v>
      </c>
      <c r="H161" s="105" t="s">
        <v>105</v>
      </c>
      <c r="I161" s="105" t="s">
        <v>105</v>
      </c>
      <c r="J161" s="105" t="s">
        <v>104</v>
      </c>
      <c r="K161" s="105" t="s">
        <v>104</v>
      </c>
      <c r="L161" s="105" t="s">
        <v>104</v>
      </c>
      <c r="M161" s="94"/>
      <c r="N161" s="94"/>
    </row>
    <row r="162" spans="1:15">
      <c r="A162" s="94"/>
      <c r="B162" s="94"/>
      <c r="C162" s="94"/>
      <c r="D162" s="94"/>
      <c r="E162" s="94"/>
      <c r="F162" s="94"/>
      <c r="G162" s="94"/>
      <c r="H162" s="94"/>
      <c r="I162" s="94"/>
      <c r="J162" s="94"/>
      <c r="K162" s="94"/>
      <c r="L162" s="94"/>
      <c r="M162" s="94"/>
      <c r="N162" s="94"/>
    </row>
    <row r="163" spans="1:15">
      <c r="A163" s="94">
        <f>B57</f>
        <v>50</v>
      </c>
      <c r="B163" s="94">
        <f>C57</f>
        <v>50</v>
      </c>
      <c r="C163" s="94">
        <v>1</v>
      </c>
      <c r="D163" s="94">
        <f>'SNB-2019'!I57</f>
        <v>2</v>
      </c>
      <c r="E163" s="109">
        <f>'SNB-2019'!J57</f>
        <v>0</v>
      </c>
      <c r="F163" s="108" t="e">
        <f t="shared" ref="F163:F180" si="2">(C163*$D$142)+(D163*$D$143)</f>
        <v>#REF!</v>
      </c>
      <c r="G163" s="108" t="e">
        <f t="shared" ref="G163:G180" si="3">$D$144*A163*1000</f>
        <v>#REF!</v>
      </c>
      <c r="H163" s="108" t="e">
        <f t="shared" ref="H163:H180" si="4">E163*$D$141</f>
        <v>#REF!</v>
      </c>
      <c r="I163" s="107" t="e">
        <f t="shared" ref="I163:I180" si="5">F163+G163+H163</f>
        <v>#REF!</v>
      </c>
      <c r="J163" s="106" t="e">
        <f t="shared" ref="J163:J180" si="6">I163/A163/365/1000</f>
        <v>#REF!</v>
      </c>
      <c r="K163" s="106" t="e">
        <f t="shared" ref="K163:K180" si="7">$D$45</f>
        <v>#REF!</v>
      </c>
      <c r="L163" s="106" t="e">
        <f t="shared" ref="L163:L180" si="8">K163+J163</f>
        <v>#REF!</v>
      </c>
      <c r="M163" s="94"/>
      <c r="N163" s="94"/>
    </row>
    <row r="164" spans="1:15">
      <c r="A164" s="94">
        <f>A163</f>
        <v>50</v>
      </c>
      <c r="B164" s="94">
        <f t="shared" ref="B164:B180" si="9">C58</f>
        <v>100</v>
      </c>
      <c r="C164" s="94">
        <v>1</v>
      </c>
      <c r="D164" s="94">
        <f>'SNB-2019'!I58</f>
        <v>7</v>
      </c>
      <c r="E164" s="109">
        <f>'SNB-2019'!J58</f>
        <v>0.76800000000000002</v>
      </c>
      <c r="F164" s="108" t="e">
        <f t="shared" si="2"/>
        <v>#REF!</v>
      </c>
      <c r="G164" s="108" t="e">
        <f t="shared" si="3"/>
        <v>#REF!</v>
      </c>
      <c r="H164" s="108" t="e">
        <f t="shared" si="4"/>
        <v>#REF!</v>
      </c>
      <c r="I164" s="107" t="e">
        <f t="shared" si="5"/>
        <v>#REF!</v>
      </c>
      <c r="J164" s="106" t="e">
        <f t="shared" si="6"/>
        <v>#REF!</v>
      </c>
      <c r="K164" s="106" t="e">
        <f t="shared" si="7"/>
        <v>#REF!</v>
      </c>
      <c r="L164" s="106" t="e">
        <f t="shared" si="8"/>
        <v>#REF!</v>
      </c>
      <c r="M164" s="94"/>
      <c r="N164" s="122"/>
      <c r="O164" s="121"/>
    </row>
    <row r="165" spans="1:15">
      <c r="A165" s="94">
        <f>A164</f>
        <v>50</v>
      </c>
      <c r="B165" s="94">
        <f t="shared" si="9"/>
        <v>150</v>
      </c>
      <c r="C165" s="94">
        <v>1</v>
      </c>
      <c r="D165" s="94">
        <f>'SNB-2019'!I59</f>
        <v>7</v>
      </c>
      <c r="E165" s="109">
        <f>'SNB-2019'!J59</f>
        <v>2.4320000000000004</v>
      </c>
      <c r="F165" s="108" t="e">
        <f t="shared" si="2"/>
        <v>#REF!</v>
      </c>
      <c r="G165" s="108" t="e">
        <f t="shared" si="3"/>
        <v>#REF!</v>
      </c>
      <c r="H165" s="108" t="e">
        <f t="shared" si="4"/>
        <v>#REF!</v>
      </c>
      <c r="I165" s="107" t="e">
        <f t="shared" si="5"/>
        <v>#REF!</v>
      </c>
      <c r="J165" s="106" t="e">
        <f t="shared" si="6"/>
        <v>#REF!</v>
      </c>
      <c r="K165" s="106" t="e">
        <f t="shared" si="7"/>
        <v>#REF!</v>
      </c>
      <c r="L165" s="106" t="e">
        <f t="shared" si="8"/>
        <v>#REF!</v>
      </c>
      <c r="M165" s="94"/>
      <c r="N165" s="122"/>
      <c r="O165" s="121"/>
    </row>
    <row r="166" spans="1:15">
      <c r="A166" s="94">
        <f>A165</f>
        <v>50</v>
      </c>
      <c r="B166" s="94">
        <f t="shared" si="9"/>
        <v>200</v>
      </c>
      <c r="C166" s="94">
        <v>1</v>
      </c>
      <c r="D166" s="94">
        <f>'SNB-2019'!I60</f>
        <v>7</v>
      </c>
      <c r="E166" s="109">
        <f>'SNB-2019'!J60</f>
        <v>4.4799999999999995</v>
      </c>
      <c r="F166" s="108" t="e">
        <f t="shared" si="2"/>
        <v>#REF!</v>
      </c>
      <c r="G166" s="108" t="e">
        <f t="shared" si="3"/>
        <v>#REF!</v>
      </c>
      <c r="H166" s="108" t="e">
        <f t="shared" si="4"/>
        <v>#REF!</v>
      </c>
      <c r="I166" s="107" t="e">
        <f t="shared" si="5"/>
        <v>#REF!</v>
      </c>
      <c r="J166" s="106" t="e">
        <f t="shared" si="6"/>
        <v>#REF!</v>
      </c>
      <c r="K166" s="106" t="e">
        <f t="shared" si="7"/>
        <v>#REF!</v>
      </c>
      <c r="L166" s="106" t="e">
        <f t="shared" si="8"/>
        <v>#REF!</v>
      </c>
      <c r="M166" s="94"/>
      <c r="N166" s="122"/>
      <c r="O166" s="121"/>
    </row>
    <row r="167" spans="1:15">
      <c r="A167" s="94">
        <f>A166</f>
        <v>50</v>
      </c>
      <c r="B167" s="94">
        <f t="shared" si="9"/>
        <v>250</v>
      </c>
      <c r="C167" s="94">
        <v>1</v>
      </c>
      <c r="D167" s="94">
        <f>'SNB-2019'!I61</f>
        <v>7</v>
      </c>
      <c r="E167" s="109">
        <f>'SNB-2019'!J61</f>
        <v>7.8079999999999998</v>
      </c>
      <c r="F167" s="108" t="e">
        <f t="shared" si="2"/>
        <v>#REF!</v>
      </c>
      <c r="G167" s="108" t="e">
        <f t="shared" si="3"/>
        <v>#REF!</v>
      </c>
      <c r="H167" s="108" t="e">
        <f t="shared" si="4"/>
        <v>#REF!</v>
      </c>
      <c r="I167" s="107" t="e">
        <f t="shared" si="5"/>
        <v>#REF!</v>
      </c>
      <c r="J167" s="106" t="e">
        <f t="shared" si="6"/>
        <v>#REF!</v>
      </c>
      <c r="K167" s="106" t="e">
        <f t="shared" si="7"/>
        <v>#REF!</v>
      </c>
      <c r="L167" s="106" t="e">
        <f t="shared" si="8"/>
        <v>#REF!</v>
      </c>
      <c r="M167" s="94"/>
      <c r="N167" s="122"/>
      <c r="O167" s="121"/>
    </row>
    <row r="168" spans="1:15">
      <c r="A168" s="94">
        <f>A167</f>
        <v>50</v>
      </c>
      <c r="B168" s="94">
        <f t="shared" si="9"/>
        <v>300</v>
      </c>
      <c r="C168" s="94">
        <v>1</v>
      </c>
      <c r="D168" s="94">
        <f>'SNB-2019'!I62</f>
        <v>7</v>
      </c>
      <c r="E168" s="109">
        <f>'SNB-2019'!J62</f>
        <v>12.938000000000001</v>
      </c>
      <c r="F168" s="108" t="e">
        <f t="shared" si="2"/>
        <v>#REF!</v>
      </c>
      <c r="G168" s="108" t="e">
        <f t="shared" si="3"/>
        <v>#REF!</v>
      </c>
      <c r="H168" s="108" t="e">
        <f t="shared" si="4"/>
        <v>#REF!</v>
      </c>
      <c r="I168" s="107" t="e">
        <f t="shared" si="5"/>
        <v>#REF!</v>
      </c>
      <c r="J168" s="106" t="e">
        <f t="shared" si="6"/>
        <v>#REF!</v>
      </c>
      <c r="K168" s="106" t="e">
        <f t="shared" si="7"/>
        <v>#REF!</v>
      </c>
      <c r="L168" s="106" t="e">
        <f t="shared" si="8"/>
        <v>#REF!</v>
      </c>
      <c r="M168" s="94"/>
      <c r="N168" s="122"/>
      <c r="O168" s="121"/>
    </row>
    <row r="169" spans="1:15">
      <c r="A169" s="94">
        <f>B63</f>
        <v>100</v>
      </c>
      <c r="B169" s="94">
        <f t="shared" si="9"/>
        <v>100</v>
      </c>
      <c r="C169" s="94">
        <v>1</v>
      </c>
      <c r="D169" s="94">
        <f>'SNB-2019'!I63</f>
        <v>7</v>
      </c>
      <c r="E169" s="109">
        <f>'SNB-2019'!J63</f>
        <v>0.76800000000000002</v>
      </c>
      <c r="F169" s="108" t="e">
        <f t="shared" si="2"/>
        <v>#REF!</v>
      </c>
      <c r="G169" s="108" t="e">
        <f t="shared" si="3"/>
        <v>#REF!</v>
      </c>
      <c r="H169" s="108" t="e">
        <f t="shared" si="4"/>
        <v>#REF!</v>
      </c>
      <c r="I169" s="107" t="e">
        <f t="shared" si="5"/>
        <v>#REF!</v>
      </c>
      <c r="J169" s="106" t="e">
        <f t="shared" si="6"/>
        <v>#REF!</v>
      </c>
      <c r="K169" s="106" t="e">
        <f t="shared" si="7"/>
        <v>#REF!</v>
      </c>
      <c r="L169" s="106" t="e">
        <f t="shared" si="8"/>
        <v>#REF!</v>
      </c>
      <c r="M169" s="94"/>
      <c r="N169" s="122"/>
      <c r="O169" s="121"/>
    </row>
    <row r="170" spans="1:15">
      <c r="A170" s="94">
        <f>A169</f>
        <v>100</v>
      </c>
      <c r="B170" s="94">
        <f t="shared" si="9"/>
        <v>150</v>
      </c>
      <c r="C170" s="94">
        <v>1</v>
      </c>
      <c r="D170" s="94">
        <f>'SNB-2019'!I64</f>
        <v>7</v>
      </c>
      <c r="E170" s="109">
        <f>'SNB-2019'!J64</f>
        <v>2.5600000000000005</v>
      </c>
      <c r="F170" s="108" t="e">
        <f t="shared" si="2"/>
        <v>#REF!</v>
      </c>
      <c r="G170" s="108" t="e">
        <f t="shared" si="3"/>
        <v>#REF!</v>
      </c>
      <c r="H170" s="108" t="e">
        <f t="shared" si="4"/>
        <v>#REF!</v>
      </c>
      <c r="I170" s="107" t="e">
        <f t="shared" si="5"/>
        <v>#REF!</v>
      </c>
      <c r="J170" s="106" t="e">
        <f t="shared" si="6"/>
        <v>#REF!</v>
      </c>
      <c r="K170" s="106" t="e">
        <f t="shared" si="7"/>
        <v>#REF!</v>
      </c>
      <c r="L170" s="106" t="e">
        <f t="shared" si="8"/>
        <v>#REF!</v>
      </c>
      <c r="M170" s="94"/>
      <c r="N170" s="122"/>
      <c r="O170" s="121"/>
    </row>
    <row r="171" spans="1:15">
      <c r="A171" s="94">
        <f>A170</f>
        <v>100</v>
      </c>
      <c r="B171" s="94">
        <f t="shared" si="9"/>
        <v>200</v>
      </c>
      <c r="C171" s="94">
        <v>1</v>
      </c>
      <c r="D171" s="94">
        <f>'SNB-2019'!I65</f>
        <v>7</v>
      </c>
      <c r="E171" s="109">
        <f>'SNB-2019'!J65</f>
        <v>5.120000000000001</v>
      </c>
      <c r="F171" s="108" t="e">
        <f t="shared" si="2"/>
        <v>#REF!</v>
      </c>
      <c r="G171" s="108" t="e">
        <f t="shared" si="3"/>
        <v>#REF!</v>
      </c>
      <c r="H171" s="108" t="e">
        <f t="shared" si="4"/>
        <v>#REF!</v>
      </c>
      <c r="I171" s="107" t="e">
        <f t="shared" si="5"/>
        <v>#REF!</v>
      </c>
      <c r="J171" s="106" t="e">
        <f t="shared" si="6"/>
        <v>#REF!</v>
      </c>
      <c r="K171" s="106" t="e">
        <f t="shared" si="7"/>
        <v>#REF!</v>
      </c>
      <c r="L171" s="106" t="e">
        <f t="shared" si="8"/>
        <v>#REF!</v>
      </c>
      <c r="M171" s="94"/>
      <c r="N171" s="122"/>
      <c r="O171" s="121"/>
    </row>
    <row r="172" spans="1:15">
      <c r="A172" s="94">
        <f>A171</f>
        <v>100</v>
      </c>
      <c r="B172" s="94">
        <f t="shared" si="9"/>
        <v>250</v>
      </c>
      <c r="C172" s="94">
        <v>1</v>
      </c>
      <c r="D172" s="94">
        <f>'SNB-2019'!I66</f>
        <v>7</v>
      </c>
      <c r="E172" s="109">
        <f>'SNB-2019'!J66</f>
        <v>9.9840000000000018</v>
      </c>
      <c r="F172" s="108" t="e">
        <f t="shared" si="2"/>
        <v>#REF!</v>
      </c>
      <c r="G172" s="108" t="e">
        <f t="shared" si="3"/>
        <v>#REF!</v>
      </c>
      <c r="H172" s="108" t="e">
        <f t="shared" si="4"/>
        <v>#REF!</v>
      </c>
      <c r="I172" s="107" t="e">
        <f t="shared" si="5"/>
        <v>#REF!</v>
      </c>
      <c r="J172" s="106" t="e">
        <f t="shared" si="6"/>
        <v>#REF!</v>
      </c>
      <c r="K172" s="106" t="e">
        <f t="shared" si="7"/>
        <v>#REF!</v>
      </c>
      <c r="L172" s="106" t="e">
        <f t="shared" si="8"/>
        <v>#REF!</v>
      </c>
      <c r="M172" s="94"/>
      <c r="N172" s="122"/>
      <c r="O172" s="121"/>
    </row>
    <row r="173" spans="1:15">
      <c r="A173" s="94">
        <f>A172</f>
        <v>100</v>
      </c>
      <c r="B173" s="94">
        <f t="shared" si="9"/>
        <v>300</v>
      </c>
      <c r="C173" s="94">
        <v>1</v>
      </c>
      <c r="D173" s="94">
        <f>'SNB-2019'!I67</f>
        <v>7</v>
      </c>
      <c r="E173" s="109">
        <f>'SNB-2019'!J67</f>
        <v>13.49</v>
      </c>
      <c r="F173" s="108" t="e">
        <f t="shared" si="2"/>
        <v>#REF!</v>
      </c>
      <c r="G173" s="108" t="e">
        <f t="shared" si="3"/>
        <v>#REF!</v>
      </c>
      <c r="H173" s="108" t="e">
        <f t="shared" si="4"/>
        <v>#REF!</v>
      </c>
      <c r="I173" s="107" t="e">
        <f t="shared" si="5"/>
        <v>#REF!</v>
      </c>
      <c r="J173" s="106" t="e">
        <f t="shared" si="6"/>
        <v>#REF!</v>
      </c>
      <c r="K173" s="106" t="e">
        <f t="shared" si="7"/>
        <v>#REF!</v>
      </c>
      <c r="L173" s="106" t="e">
        <f t="shared" si="8"/>
        <v>#REF!</v>
      </c>
      <c r="M173" s="94"/>
      <c r="N173" s="122"/>
      <c r="O173" s="121"/>
    </row>
    <row r="174" spans="1:15">
      <c r="A174" s="94">
        <f>B68</f>
        <v>150</v>
      </c>
      <c r="B174" s="94">
        <f t="shared" si="9"/>
        <v>150</v>
      </c>
      <c r="C174" s="94">
        <v>1</v>
      </c>
      <c r="D174" s="94">
        <f>'SNB-2019'!I68</f>
        <v>7</v>
      </c>
      <c r="E174" s="109">
        <f>'SNB-2019'!J68</f>
        <v>2.5600000000000005</v>
      </c>
      <c r="F174" s="108" t="e">
        <f t="shared" si="2"/>
        <v>#REF!</v>
      </c>
      <c r="G174" s="108" t="e">
        <f t="shared" si="3"/>
        <v>#REF!</v>
      </c>
      <c r="H174" s="108" t="e">
        <f t="shared" si="4"/>
        <v>#REF!</v>
      </c>
      <c r="I174" s="107" t="e">
        <f t="shared" si="5"/>
        <v>#REF!</v>
      </c>
      <c r="J174" s="106" t="e">
        <f t="shared" si="6"/>
        <v>#REF!</v>
      </c>
      <c r="K174" s="106" t="e">
        <f t="shared" si="7"/>
        <v>#REF!</v>
      </c>
      <c r="L174" s="106" t="e">
        <f t="shared" si="8"/>
        <v>#REF!</v>
      </c>
      <c r="M174" s="94"/>
      <c r="N174" s="122"/>
      <c r="O174" s="121"/>
    </row>
    <row r="175" spans="1:15">
      <c r="A175" s="94">
        <f>A174</f>
        <v>150</v>
      </c>
      <c r="B175" s="94">
        <f t="shared" si="9"/>
        <v>200</v>
      </c>
      <c r="C175" s="94">
        <v>1</v>
      </c>
      <c r="D175" s="94">
        <f>'SNB-2019'!I69</f>
        <v>7</v>
      </c>
      <c r="E175" s="109">
        <f>'SNB-2019'!J69</f>
        <v>5.120000000000001</v>
      </c>
      <c r="F175" s="108" t="e">
        <f t="shared" si="2"/>
        <v>#REF!</v>
      </c>
      <c r="G175" s="108" t="e">
        <f t="shared" si="3"/>
        <v>#REF!</v>
      </c>
      <c r="H175" s="108" t="e">
        <f t="shared" si="4"/>
        <v>#REF!</v>
      </c>
      <c r="I175" s="107" t="e">
        <f t="shared" si="5"/>
        <v>#REF!</v>
      </c>
      <c r="J175" s="106" t="e">
        <f t="shared" si="6"/>
        <v>#REF!</v>
      </c>
      <c r="K175" s="106" t="e">
        <f t="shared" si="7"/>
        <v>#REF!</v>
      </c>
      <c r="L175" s="106" t="e">
        <f t="shared" si="8"/>
        <v>#REF!</v>
      </c>
      <c r="M175" s="94"/>
      <c r="N175" s="122"/>
      <c r="O175" s="121"/>
    </row>
    <row r="176" spans="1:15">
      <c r="A176" s="94">
        <f>A175</f>
        <v>150</v>
      </c>
      <c r="B176" s="94">
        <f t="shared" si="9"/>
        <v>250</v>
      </c>
      <c r="C176" s="94">
        <v>1</v>
      </c>
      <c r="D176" s="94">
        <f>'SNB-2019'!I70</f>
        <v>7</v>
      </c>
      <c r="E176" s="109">
        <f>'SNB-2019'!J70</f>
        <v>10.496</v>
      </c>
      <c r="F176" s="108" t="e">
        <f t="shared" si="2"/>
        <v>#REF!</v>
      </c>
      <c r="G176" s="108" t="e">
        <f t="shared" si="3"/>
        <v>#REF!</v>
      </c>
      <c r="H176" s="108" t="e">
        <f t="shared" si="4"/>
        <v>#REF!</v>
      </c>
      <c r="I176" s="107" t="e">
        <f t="shared" si="5"/>
        <v>#REF!</v>
      </c>
      <c r="J176" s="106" t="e">
        <f t="shared" si="6"/>
        <v>#REF!</v>
      </c>
      <c r="K176" s="106" t="e">
        <f t="shared" si="7"/>
        <v>#REF!</v>
      </c>
      <c r="L176" s="106" t="e">
        <f t="shared" si="8"/>
        <v>#REF!</v>
      </c>
      <c r="M176" s="94"/>
      <c r="N176" s="122"/>
      <c r="O176" s="121"/>
    </row>
    <row r="177" spans="1:15">
      <c r="A177" s="94">
        <f>A176</f>
        <v>150</v>
      </c>
      <c r="B177" s="94">
        <f t="shared" si="9"/>
        <v>300</v>
      </c>
      <c r="C177" s="94">
        <v>1</v>
      </c>
      <c r="D177" s="94">
        <f>'SNB-2019'!I71</f>
        <v>7</v>
      </c>
      <c r="E177" s="109">
        <f>'SNB-2019'!J71</f>
        <v>13.628</v>
      </c>
      <c r="F177" s="108" t="e">
        <f t="shared" si="2"/>
        <v>#REF!</v>
      </c>
      <c r="G177" s="108" t="e">
        <f t="shared" si="3"/>
        <v>#REF!</v>
      </c>
      <c r="H177" s="108" t="e">
        <f t="shared" si="4"/>
        <v>#REF!</v>
      </c>
      <c r="I177" s="107" t="e">
        <f t="shared" si="5"/>
        <v>#REF!</v>
      </c>
      <c r="J177" s="106" t="e">
        <f t="shared" si="6"/>
        <v>#REF!</v>
      </c>
      <c r="K177" s="106" t="e">
        <f t="shared" si="7"/>
        <v>#REF!</v>
      </c>
      <c r="L177" s="106" t="e">
        <f t="shared" si="8"/>
        <v>#REF!</v>
      </c>
      <c r="M177" s="94"/>
      <c r="N177" s="122"/>
      <c r="O177" s="121"/>
    </row>
    <row r="178" spans="1:15">
      <c r="A178" s="94">
        <f>B72</f>
        <v>200</v>
      </c>
      <c r="B178" s="94">
        <f t="shared" si="9"/>
        <v>200</v>
      </c>
      <c r="C178" s="94">
        <v>1</v>
      </c>
      <c r="D178" s="94">
        <f>'SNB-2019'!I72</f>
        <v>7</v>
      </c>
      <c r="E178" s="109">
        <f>'SNB-2019'!J72</f>
        <v>5.120000000000001</v>
      </c>
      <c r="F178" s="108" t="e">
        <f t="shared" si="2"/>
        <v>#REF!</v>
      </c>
      <c r="G178" s="108" t="e">
        <f t="shared" si="3"/>
        <v>#REF!</v>
      </c>
      <c r="H178" s="108" t="e">
        <f t="shared" si="4"/>
        <v>#REF!</v>
      </c>
      <c r="I178" s="107" t="e">
        <f t="shared" si="5"/>
        <v>#REF!</v>
      </c>
      <c r="J178" s="106" t="e">
        <f t="shared" si="6"/>
        <v>#REF!</v>
      </c>
      <c r="K178" s="106" t="e">
        <f t="shared" si="7"/>
        <v>#REF!</v>
      </c>
      <c r="L178" s="106" t="e">
        <f t="shared" si="8"/>
        <v>#REF!</v>
      </c>
      <c r="M178" s="94"/>
      <c r="N178" s="122"/>
      <c r="O178" s="121"/>
    </row>
    <row r="179" spans="1:15">
      <c r="A179" s="94">
        <f>A178</f>
        <v>200</v>
      </c>
      <c r="B179" s="94">
        <f t="shared" si="9"/>
        <v>250</v>
      </c>
      <c r="C179" s="94">
        <v>1</v>
      </c>
      <c r="D179" s="94">
        <f>'SNB-2019'!I73</f>
        <v>7</v>
      </c>
      <c r="E179" s="109">
        <f>'SNB-2019'!J73</f>
        <v>10.496</v>
      </c>
      <c r="F179" s="108" t="e">
        <f t="shared" si="2"/>
        <v>#REF!</v>
      </c>
      <c r="G179" s="108" t="e">
        <f t="shared" si="3"/>
        <v>#REF!</v>
      </c>
      <c r="H179" s="108" t="e">
        <f t="shared" si="4"/>
        <v>#REF!</v>
      </c>
      <c r="I179" s="107" t="e">
        <f t="shared" si="5"/>
        <v>#REF!</v>
      </c>
      <c r="J179" s="106" t="e">
        <f t="shared" si="6"/>
        <v>#REF!</v>
      </c>
      <c r="K179" s="106" t="e">
        <f t="shared" si="7"/>
        <v>#REF!</v>
      </c>
      <c r="L179" s="106" t="e">
        <f t="shared" si="8"/>
        <v>#REF!</v>
      </c>
      <c r="M179" s="94"/>
      <c r="N179" s="122"/>
      <c r="O179" s="121"/>
    </row>
    <row r="180" spans="1:15">
      <c r="A180" s="94">
        <f>A179</f>
        <v>200</v>
      </c>
      <c r="B180" s="94">
        <f t="shared" si="9"/>
        <v>300</v>
      </c>
      <c r="C180" s="94">
        <v>1</v>
      </c>
      <c r="D180" s="94">
        <f>'SNB-2019'!I74</f>
        <v>7</v>
      </c>
      <c r="E180" s="109">
        <f>'SNB-2019'!J74</f>
        <v>13.766000000000002</v>
      </c>
      <c r="F180" s="108" t="e">
        <f t="shared" si="2"/>
        <v>#REF!</v>
      </c>
      <c r="G180" s="108" t="e">
        <f t="shared" si="3"/>
        <v>#REF!</v>
      </c>
      <c r="H180" s="108" t="e">
        <f t="shared" si="4"/>
        <v>#REF!</v>
      </c>
      <c r="I180" s="107" t="e">
        <f t="shared" si="5"/>
        <v>#REF!</v>
      </c>
      <c r="J180" s="106" t="e">
        <f t="shared" si="6"/>
        <v>#REF!</v>
      </c>
      <c r="K180" s="106" t="e">
        <f t="shared" si="7"/>
        <v>#REF!</v>
      </c>
      <c r="L180" s="106" t="e">
        <f t="shared" si="8"/>
        <v>#REF!</v>
      </c>
      <c r="M180" s="94"/>
      <c r="N180" s="122"/>
      <c r="O180" s="121"/>
    </row>
    <row r="181" spans="1:15">
      <c r="A181" s="120"/>
      <c r="B181" s="120"/>
      <c r="C181" s="120"/>
      <c r="D181" s="120"/>
      <c r="E181" s="119"/>
      <c r="F181" s="118"/>
      <c r="G181" s="117"/>
      <c r="H181" s="117"/>
      <c r="I181" s="116"/>
      <c r="J181" s="115"/>
      <c r="K181" s="115"/>
      <c r="L181" s="115"/>
      <c r="M181" s="94"/>
      <c r="N181" s="94"/>
    </row>
    <row r="182" spans="1:15">
      <c r="A182" s="120"/>
      <c r="B182" s="120"/>
      <c r="C182" s="120"/>
      <c r="D182" s="120"/>
      <c r="E182" s="119"/>
      <c r="F182" s="118"/>
      <c r="G182" s="117"/>
      <c r="H182" s="117"/>
      <c r="I182" s="116"/>
      <c r="J182" s="115"/>
      <c r="K182" s="115"/>
      <c r="L182" s="115"/>
      <c r="M182" s="94"/>
      <c r="N182" s="94"/>
    </row>
    <row r="183" spans="1:15">
      <c r="A183" s="120"/>
      <c r="B183" s="120"/>
      <c r="C183" s="120"/>
      <c r="D183" s="120"/>
      <c r="E183" s="119"/>
      <c r="F183" s="118"/>
      <c r="G183" s="117"/>
      <c r="H183" s="117"/>
      <c r="I183" s="116"/>
      <c r="J183" s="115"/>
      <c r="K183" s="115"/>
      <c r="L183" s="115"/>
      <c r="M183" s="94"/>
      <c r="N183" s="94"/>
    </row>
    <row r="184" spans="1:15">
      <c r="A184" s="94"/>
      <c r="B184" s="94"/>
      <c r="C184" s="94"/>
      <c r="D184" s="94"/>
      <c r="E184" s="94"/>
      <c r="F184" s="94"/>
      <c r="G184" s="94"/>
      <c r="H184" s="94"/>
      <c r="I184" s="94"/>
      <c r="J184" s="94"/>
      <c r="K184" s="94"/>
      <c r="L184" s="94"/>
      <c r="M184" s="94"/>
      <c r="N184" s="94"/>
    </row>
    <row r="185" spans="1:15">
      <c r="A185" s="94"/>
      <c r="B185" s="94"/>
      <c r="C185" s="94"/>
      <c r="D185" s="94"/>
      <c r="E185" s="94"/>
      <c r="F185" s="94"/>
      <c r="G185" s="94"/>
      <c r="H185" s="94"/>
      <c r="I185" s="94"/>
      <c r="J185" s="104" t="s">
        <v>127</v>
      </c>
      <c r="K185" s="94"/>
      <c r="L185" s="103" t="e">
        <f>AVERAGE(L163:L180)</f>
        <v>#REF!</v>
      </c>
      <c r="M185" s="102" t="s">
        <v>126</v>
      </c>
      <c r="N185" s="114"/>
    </row>
    <row r="186" spans="1:15">
      <c r="A186" s="94"/>
      <c r="B186" s="94"/>
      <c r="C186" s="94"/>
      <c r="D186" s="94"/>
      <c r="E186" s="94"/>
      <c r="F186" s="94"/>
      <c r="G186" s="94"/>
      <c r="H186" s="94"/>
      <c r="I186" s="94"/>
      <c r="J186" s="94"/>
      <c r="K186" s="94"/>
      <c r="L186" s="94"/>
      <c r="M186" s="94"/>
      <c r="N186" s="94"/>
    </row>
    <row r="187" spans="1:15" ht="16.2" thickBot="1">
      <c r="A187" s="113" t="s">
        <v>125</v>
      </c>
      <c r="B187" s="94"/>
      <c r="C187" s="94"/>
      <c r="D187" s="94"/>
      <c r="E187" s="94"/>
      <c r="F187" s="94"/>
      <c r="G187" s="94"/>
      <c r="H187" s="94"/>
      <c r="I187" s="94"/>
      <c r="J187" s="94"/>
      <c r="K187" s="94"/>
      <c r="L187" s="94"/>
      <c r="M187" s="94"/>
      <c r="N187" s="94"/>
    </row>
    <row r="188" spans="1:15" ht="14.4" thickBot="1">
      <c r="A188" s="94"/>
      <c r="B188" s="94"/>
      <c r="C188" s="94"/>
      <c r="D188" s="94"/>
      <c r="E188" s="94"/>
      <c r="F188" s="94"/>
      <c r="G188" s="105" t="s">
        <v>121</v>
      </c>
      <c r="H188" s="94"/>
      <c r="I188" s="94"/>
      <c r="J188" s="112" t="s">
        <v>120</v>
      </c>
      <c r="K188" s="91"/>
      <c r="L188" s="111"/>
      <c r="M188" s="94"/>
      <c r="N188" s="94"/>
    </row>
    <row r="189" spans="1:15">
      <c r="A189" s="105"/>
      <c r="B189" s="105"/>
      <c r="C189" s="105" t="s">
        <v>117</v>
      </c>
      <c r="D189" s="105" t="s">
        <v>119</v>
      </c>
      <c r="E189" s="105" t="s">
        <v>118</v>
      </c>
      <c r="F189" s="105" t="s">
        <v>117</v>
      </c>
      <c r="G189" s="105" t="s">
        <v>116</v>
      </c>
      <c r="H189" s="105" t="s">
        <v>115</v>
      </c>
      <c r="I189" s="105"/>
      <c r="J189" s="105" t="s">
        <v>110</v>
      </c>
      <c r="K189" s="105" t="s">
        <v>114</v>
      </c>
      <c r="L189" s="94"/>
      <c r="M189" s="94"/>
      <c r="N189" s="94"/>
    </row>
    <row r="190" spans="1:15">
      <c r="A190" s="110" t="s">
        <v>113</v>
      </c>
      <c r="B190" s="110" t="s">
        <v>112</v>
      </c>
      <c r="C190" s="110" t="s">
        <v>111</v>
      </c>
      <c r="D190" s="110" t="s">
        <v>111</v>
      </c>
      <c r="E190" s="110" t="s">
        <v>111</v>
      </c>
      <c r="F190" s="110" t="s">
        <v>110</v>
      </c>
      <c r="G190" s="110" t="s">
        <v>110</v>
      </c>
      <c r="H190" s="110" t="s">
        <v>110</v>
      </c>
      <c r="I190" s="110" t="s">
        <v>110</v>
      </c>
      <c r="J190" s="110" t="s">
        <v>109</v>
      </c>
      <c r="K190" s="110" t="s">
        <v>108</v>
      </c>
      <c r="L190" s="110" t="s">
        <v>1</v>
      </c>
      <c r="M190" s="94"/>
      <c r="N190" s="94"/>
    </row>
    <row r="191" spans="1:15">
      <c r="A191" s="105" t="s">
        <v>107</v>
      </c>
      <c r="B191" s="105" t="s">
        <v>106</v>
      </c>
      <c r="C191" s="105"/>
      <c r="D191" s="105"/>
      <c r="E191" s="105"/>
      <c r="F191" s="105" t="s">
        <v>105</v>
      </c>
      <c r="G191" s="105" t="s">
        <v>105</v>
      </c>
      <c r="H191" s="105" t="s">
        <v>105</v>
      </c>
      <c r="I191" s="105" t="s">
        <v>105</v>
      </c>
      <c r="J191" s="105" t="s">
        <v>104</v>
      </c>
      <c r="K191" s="105" t="s">
        <v>104</v>
      </c>
      <c r="L191" s="105" t="s">
        <v>104</v>
      </c>
      <c r="M191" s="94"/>
      <c r="N191" s="94"/>
    </row>
    <row r="192" spans="1:15">
      <c r="A192" s="94"/>
      <c r="B192" s="94"/>
      <c r="C192" s="94"/>
      <c r="D192" s="94"/>
      <c r="E192" s="94"/>
      <c r="F192" s="94"/>
      <c r="G192" s="94"/>
      <c r="H192" s="94"/>
      <c r="I192" s="94"/>
      <c r="J192" s="94"/>
      <c r="K192" s="94"/>
      <c r="L192" s="94"/>
      <c r="M192" s="94"/>
      <c r="N192" s="94"/>
    </row>
    <row r="193" spans="1:14">
      <c r="A193" s="94">
        <v>50</v>
      </c>
      <c r="B193" s="94">
        <v>50</v>
      </c>
      <c r="C193" s="107">
        <f>0</f>
        <v>0</v>
      </c>
      <c r="D193" s="107">
        <f>'SNB-2019'!I87</f>
        <v>0</v>
      </c>
      <c r="E193" s="109">
        <f>'SNB-2019'!F83</f>
        <v>45.400000000000006</v>
      </c>
      <c r="F193" s="108" t="e">
        <f>(C193*$D$142)+(D193*$D$143)</f>
        <v>#REF!</v>
      </c>
      <c r="G193" s="108" t="e">
        <f>$D$144*A193*1000</f>
        <v>#REF!</v>
      </c>
      <c r="H193" s="108" t="e">
        <f>E193*$D$141</f>
        <v>#REF!</v>
      </c>
      <c r="I193" s="107" t="e">
        <f>F193+G193+H193</f>
        <v>#REF!</v>
      </c>
      <c r="J193" s="106" t="e">
        <f>I193/A193/365/1000</f>
        <v>#REF!</v>
      </c>
      <c r="K193" s="106" t="e">
        <f>$D$45</f>
        <v>#REF!</v>
      </c>
      <c r="L193" s="106" t="e">
        <f>K193+J193</f>
        <v>#REF!</v>
      </c>
      <c r="M193" s="94"/>
      <c r="N193" s="94"/>
    </row>
    <row r="194" spans="1:14">
      <c r="A194" s="94">
        <v>100</v>
      </c>
      <c r="B194" s="94">
        <v>100</v>
      </c>
      <c r="C194" s="107">
        <f>0</f>
        <v>0</v>
      </c>
      <c r="D194" s="107">
        <f>'SNB-2019'!I88</f>
        <v>0</v>
      </c>
      <c r="E194" s="109">
        <f>'SNB-2019'!F88</f>
        <v>78.2</v>
      </c>
      <c r="F194" s="108" t="e">
        <f>(C194*$D$142)+(D194*$D$143)</f>
        <v>#REF!</v>
      </c>
      <c r="G194" s="108" t="e">
        <f>$D$144*A194*1000</f>
        <v>#REF!</v>
      </c>
      <c r="H194" s="108" t="e">
        <f>E194*$D$141</f>
        <v>#REF!</v>
      </c>
      <c r="I194" s="107" t="e">
        <f>F194+G194+H194</f>
        <v>#REF!</v>
      </c>
      <c r="J194" s="106" t="e">
        <f>I194/A194/365/1000</f>
        <v>#REF!</v>
      </c>
      <c r="K194" s="106" t="e">
        <f>$D$45</f>
        <v>#REF!</v>
      </c>
      <c r="L194" s="106" t="e">
        <f>K194+J194</f>
        <v>#REF!</v>
      </c>
      <c r="M194" s="94"/>
      <c r="N194" s="94"/>
    </row>
    <row r="195" spans="1:14">
      <c r="A195" s="94">
        <v>150</v>
      </c>
      <c r="B195" s="94">
        <v>150</v>
      </c>
      <c r="C195" s="107">
        <f>0</f>
        <v>0</v>
      </c>
      <c r="D195" s="107">
        <f>'SNB-2019'!I89</f>
        <v>0</v>
      </c>
      <c r="E195" s="109">
        <f>'SNB-2019'!F92</f>
        <v>123.4</v>
      </c>
      <c r="F195" s="108" t="e">
        <f>(C195*$D$142)+(D195*$D$143)</f>
        <v>#REF!</v>
      </c>
      <c r="G195" s="108" t="e">
        <f>$D$144*A195*1000</f>
        <v>#REF!</v>
      </c>
      <c r="H195" s="108" t="e">
        <f>E195*$D$141</f>
        <v>#REF!</v>
      </c>
      <c r="I195" s="107" t="e">
        <f>F195+G195+H195</f>
        <v>#REF!</v>
      </c>
      <c r="J195" s="106" t="e">
        <f>I195/A195/365/1000</f>
        <v>#REF!</v>
      </c>
      <c r="K195" s="106" t="e">
        <f>$D$45</f>
        <v>#REF!</v>
      </c>
      <c r="L195" s="106" t="e">
        <f>K195+J195</f>
        <v>#REF!</v>
      </c>
      <c r="M195" s="94"/>
      <c r="N195" s="94"/>
    </row>
    <row r="196" spans="1:14">
      <c r="A196" s="94">
        <v>200</v>
      </c>
      <c r="B196" s="94">
        <v>200</v>
      </c>
      <c r="C196" s="107">
        <f>0</f>
        <v>0</v>
      </c>
      <c r="D196" s="107">
        <f>'SNB-2019'!I90</f>
        <v>0</v>
      </c>
      <c r="E196" s="109">
        <f>'SNB-2019'!F97</f>
        <v>123.5</v>
      </c>
      <c r="F196" s="108" t="e">
        <f>(C196*$D$142)+(D196*$D$143)</f>
        <v>#REF!</v>
      </c>
      <c r="G196" s="108" t="e">
        <f>$D$144*A196*1000</f>
        <v>#REF!</v>
      </c>
      <c r="H196" s="108" t="e">
        <f>E196*$D$141</f>
        <v>#REF!</v>
      </c>
      <c r="I196" s="107" t="e">
        <f>F196+G196+H196</f>
        <v>#REF!</v>
      </c>
      <c r="J196" s="106" t="e">
        <f>I196/A196/365/1000</f>
        <v>#REF!</v>
      </c>
      <c r="K196" s="106" t="e">
        <f>$D$45</f>
        <v>#REF!</v>
      </c>
      <c r="L196" s="106" t="e">
        <f>K196+J196</f>
        <v>#REF!</v>
      </c>
      <c r="M196" s="94"/>
      <c r="N196" s="94"/>
    </row>
    <row r="197" spans="1:14">
      <c r="A197" s="94"/>
      <c r="B197" s="94"/>
      <c r="C197" s="94"/>
      <c r="D197" s="94"/>
      <c r="E197" s="94"/>
      <c r="F197" s="94"/>
      <c r="G197" s="94"/>
      <c r="H197" s="94"/>
      <c r="I197" s="94"/>
      <c r="J197" s="94"/>
      <c r="K197" s="94"/>
      <c r="L197" s="94"/>
      <c r="M197" s="94"/>
      <c r="N197" s="94"/>
    </row>
    <row r="198" spans="1:14">
      <c r="A198" s="94"/>
      <c r="B198" s="94"/>
      <c r="C198" s="94"/>
      <c r="D198" s="94"/>
      <c r="E198" s="94"/>
      <c r="F198" s="94"/>
      <c r="G198" s="94"/>
      <c r="H198" s="94"/>
      <c r="I198" s="94"/>
      <c r="J198" s="104" t="s">
        <v>124</v>
      </c>
      <c r="K198" s="94"/>
      <c r="L198" s="103" t="e">
        <f>AVERAGE(L193:L196)</f>
        <v>#REF!</v>
      </c>
      <c r="M198" s="94" t="s">
        <v>123</v>
      </c>
      <c r="N198" s="94"/>
    </row>
    <row r="199" spans="1:14">
      <c r="A199" s="94"/>
      <c r="B199" s="94"/>
      <c r="C199" s="94"/>
      <c r="D199" s="94"/>
      <c r="E199" s="94"/>
      <c r="F199" s="94"/>
      <c r="G199" s="94"/>
      <c r="H199" s="94"/>
      <c r="I199" s="94"/>
      <c r="J199" s="104"/>
      <c r="K199" s="94"/>
      <c r="L199" s="103"/>
      <c r="M199" s="94"/>
      <c r="N199" s="94"/>
    </row>
    <row r="200" spans="1:14">
      <c r="M200" s="94"/>
      <c r="N200" s="94"/>
    </row>
    <row r="201" spans="1:14" ht="16.2" thickBot="1">
      <c r="A201" s="113" t="s">
        <v>122</v>
      </c>
      <c r="B201" s="94"/>
      <c r="C201" s="94"/>
      <c r="D201" s="94"/>
      <c r="E201" s="94"/>
      <c r="F201" s="94"/>
      <c r="G201" s="94"/>
      <c r="H201" s="94"/>
      <c r="I201" s="94"/>
      <c r="J201" s="94"/>
      <c r="K201" s="94"/>
      <c r="L201" s="94"/>
      <c r="M201" s="94"/>
      <c r="N201" s="94"/>
    </row>
    <row r="202" spans="1:14" ht="14.4" thickBot="1">
      <c r="A202" s="94"/>
      <c r="B202" s="94"/>
      <c r="C202" s="94"/>
      <c r="D202" s="94"/>
      <c r="E202" s="94"/>
      <c r="F202" s="94"/>
      <c r="G202" s="105" t="s">
        <v>121</v>
      </c>
      <c r="H202" s="94"/>
      <c r="I202" s="94"/>
      <c r="J202" s="112" t="s">
        <v>120</v>
      </c>
      <c r="K202" s="91"/>
      <c r="L202" s="111"/>
      <c r="M202" s="94"/>
      <c r="N202" s="94"/>
    </row>
    <row r="203" spans="1:14">
      <c r="A203" s="105"/>
      <c r="B203" s="105"/>
      <c r="C203" s="105" t="s">
        <v>117</v>
      </c>
      <c r="D203" s="105" t="s">
        <v>119</v>
      </c>
      <c r="E203" s="105" t="s">
        <v>118</v>
      </c>
      <c r="F203" s="105" t="s">
        <v>117</v>
      </c>
      <c r="G203" s="105" t="s">
        <v>116</v>
      </c>
      <c r="H203" s="105" t="s">
        <v>115</v>
      </c>
      <c r="I203" s="105"/>
      <c r="J203" s="105" t="s">
        <v>110</v>
      </c>
      <c r="K203" s="105" t="s">
        <v>114</v>
      </c>
      <c r="L203" s="94"/>
      <c r="M203" s="94"/>
      <c r="N203" s="94"/>
    </row>
    <row r="204" spans="1:14">
      <c r="A204" s="110" t="s">
        <v>113</v>
      </c>
      <c r="B204" s="110" t="s">
        <v>112</v>
      </c>
      <c r="C204" s="110" t="s">
        <v>111</v>
      </c>
      <c r="D204" s="110" t="s">
        <v>111</v>
      </c>
      <c r="E204" s="110" t="s">
        <v>111</v>
      </c>
      <c r="F204" s="110" t="s">
        <v>110</v>
      </c>
      <c r="G204" s="110" t="s">
        <v>110</v>
      </c>
      <c r="H204" s="110" t="s">
        <v>110</v>
      </c>
      <c r="I204" s="110" t="s">
        <v>110</v>
      </c>
      <c r="J204" s="110" t="s">
        <v>109</v>
      </c>
      <c r="K204" s="110" t="s">
        <v>108</v>
      </c>
      <c r="L204" s="110" t="s">
        <v>1</v>
      </c>
      <c r="M204" s="94"/>
      <c r="N204" s="94"/>
    </row>
    <row r="205" spans="1:14">
      <c r="A205" s="105" t="s">
        <v>107</v>
      </c>
      <c r="B205" s="105" t="s">
        <v>106</v>
      </c>
      <c r="C205" s="105"/>
      <c r="D205" s="105"/>
      <c r="E205" s="105"/>
      <c r="F205" s="105" t="s">
        <v>105</v>
      </c>
      <c r="G205" s="105" t="s">
        <v>105</v>
      </c>
      <c r="H205" s="105" t="s">
        <v>105</v>
      </c>
      <c r="I205" s="105" t="s">
        <v>105</v>
      </c>
      <c r="J205" s="105" t="s">
        <v>104</v>
      </c>
      <c r="K205" s="105" t="s">
        <v>104</v>
      </c>
      <c r="L205" s="105" t="s">
        <v>104</v>
      </c>
      <c r="M205" s="94"/>
      <c r="N205" s="94"/>
    </row>
    <row r="206" spans="1:14">
      <c r="A206" s="94"/>
      <c r="B206" s="94"/>
      <c r="C206" s="94"/>
      <c r="D206" s="94"/>
      <c r="E206" s="94"/>
      <c r="F206" s="94"/>
      <c r="G206" s="94"/>
      <c r="H206" s="94"/>
      <c r="I206" s="94"/>
      <c r="J206" s="94"/>
      <c r="K206" s="94"/>
      <c r="L206" s="94"/>
      <c r="M206" s="94"/>
      <c r="N206" s="94"/>
    </row>
    <row r="207" spans="1:14">
      <c r="A207" s="94">
        <v>50</v>
      </c>
      <c r="B207" s="94">
        <v>50</v>
      </c>
      <c r="C207" s="107">
        <v>1</v>
      </c>
      <c r="D207" s="107">
        <f>'SNB-2019'!F107</f>
        <v>1</v>
      </c>
      <c r="E207" s="109">
        <v>0</v>
      </c>
      <c r="F207" s="108" t="e">
        <f>(C207*$D$142)+(D207*$D$143)</f>
        <v>#REF!</v>
      </c>
      <c r="G207" s="108" t="e">
        <f>$D$144*A207*1000</f>
        <v>#REF!</v>
      </c>
      <c r="H207" s="108" t="e">
        <f>E207*$D$141</f>
        <v>#REF!</v>
      </c>
      <c r="I207" s="107" t="e">
        <f>F207+G207+H207</f>
        <v>#REF!</v>
      </c>
      <c r="J207" s="106" t="e">
        <f>I207/A207/365/1000</f>
        <v>#REF!</v>
      </c>
      <c r="K207" s="106" t="e">
        <f>$D$45</f>
        <v>#REF!</v>
      </c>
      <c r="L207" s="106" t="e">
        <f>K207+J207</f>
        <v>#REF!</v>
      </c>
      <c r="M207" s="94"/>
      <c r="N207" s="94"/>
    </row>
    <row r="208" spans="1:14">
      <c r="A208" s="94">
        <v>100</v>
      </c>
      <c r="B208" s="94">
        <v>100</v>
      </c>
      <c r="C208" s="107">
        <v>1</v>
      </c>
      <c r="D208" s="107">
        <f>'SNB-2019'!F108</f>
        <v>1</v>
      </c>
      <c r="E208" s="109">
        <v>0</v>
      </c>
      <c r="F208" s="108" t="e">
        <f>(C208*$D$142)+(D208*$D$143)</f>
        <v>#REF!</v>
      </c>
      <c r="G208" s="108" t="e">
        <f>$D$144*A208*1000</f>
        <v>#REF!</v>
      </c>
      <c r="H208" s="108" t="e">
        <f>E208*$D$141</f>
        <v>#REF!</v>
      </c>
      <c r="I208" s="107" t="e">
        <f>F208+G208+H208</f>
        <v>#REF!</v>
      </c>
      <c r="J208" s="106" t="e">
        <f>I208/A208/365/1000</f>
        <v>#REF!</v>
      </c>
      <c r="K208" s="106" t="e">
        <f>$D$45</f>
        <v>#REF!</v>
      </c>
      <c r="L208" s="106" t="e">
        <f>K208+J208</f>
        <v>#REF!</v>
      </c>
      <c r="M208" s="94"/>
      <c r="N208" s="94"/>
    </row>
    <row r="209" spans="1:14">
      <c r="A209" s="94">
        <v>150</v>
      </c>
      <c r="B209" s="94">
        <v>150</v>
      </c>
      <c r="C209" s="107">
        <v>1</v>
      </c>
      <c r="D209" s="107">
        <f>'SNB-2019'!F110</f>
        <v>6</v>
      </c>
      <c r="E209" s="109">
        <v>0</v>
      </c>
      <c r="F209" s="108" t="e">
        <f>(C209*$D$142)+(D209*$D$143)</f>
        <v>#REF!</v>
      </c>
      <c r="G209" s="108" t="e">
        <f>$D$144*A209*1000</f>
        <v>#REF!</v>
      </c>
      <c r="H209" s="108" t="e">
        <f>E209*$D$141</f>
        <v>#REF!</v>
      </c>
      <c r="I209" s="107" t="e">
        <f>F209+G209+H209</f>
        <v>#REF!</v>
      </c>
      <c r="J209" s="106" t="e">
        <f>I209/A209/365/1000</f>
        <v>#REF!</v>
      </c>
      <c r="K209" s="106" t="e">
        <f>$D$45</f>
        <v>#REF!</v>
      </c>
      <c r="L209" s="106" t="e">
        <f>K209+J209</f>
        <v>#REF!</v>
      </c>
      <c r="M209" s="94"/>
      <c r="N209" s="94"/>
    </row>
    <row r="210" spans="1:14">
      <c r="A210" s="94">
        <v>200</v>
      </c>
      <c r="B210" s="94">
        <v>200</v>
      </c>
      <c r="C210" s="107">
        <v>1</v>
      </c>
      <c r="D210" s="107">
        <f>'SNB-2019'!F111</f>
        <v>6</v>
      </c>
      <c r="E210" s="109">
        <v>0</v>
      </c>
      <c r="F210" s="108" t="e">
        <f>(C210*$D$142)+(D210*$D$143)</f>
        <v>#REF!</v>
      </c>
      <c r="G210" s="108" t="e">
        <f>$D$144*A210*1000</f>
        <v>#REF!</v>
      </c>
      <c r="H210" s="108" t="e">
        <f>E210*$D$141</f>
        <v>#REF!</v>
      </c>
      <c r="I210" s="107" t="e">
        <f>F210+G210+H210</f>
        <v>#REF!</v>
      </c>
      <c r="J210" s="106" t="e">
        <f>I210/A210/365/1000</f>
        <v>#REF!</v>
      </c>
      <c r="K210" s="106" t="e">
        <f>$D$45</f>
        <v>#REF!</v>
      </c>
      <c r="L210" s="106" t="e">
        <f>K210+J210</f>
        <v>#REF!</v>
      </c>
      <c r="M210" s="94"/>
      <c r="N210" s="94"/>
    </row>
    <row r="211" spans="1:14">
      <c r="A211" s="94"/>
      <c r="B211" s="94"/>
      <c r="C211" s="94"/>
      <c r="D211" s="94"/>
      <c r="E211" s="94"/>
      <c r="F211" s="94"/>
      <c r="G211" s="94"/>
      <c r="H211" s="94"/>
      <c r="I211" s="94"/>
      <c r="J211" s="94"/>
      <c r="K211" s="94"/>
      <c r="L211" s="94"/>
      <c r="M211" s="105" t="s">
        <v>103</v>
      </c>
      <c r="N211" s="94"/>
    </row>
    <row r="212" spans="1:14">
      <c r="A212" s="94"/>
      <c r="B212" s="94"/>
      <c r="C212" s="94"/>
      <c r="D212" s="94"/>
      <c r="E212" s="94"/>
      <c r="F212" s="94"/>
      <c r="G212" s="94"/>
      <c r="H212" s="94"/>
      <c r="I212" s="94"/>
      <c r="J212" s="104" t="s">
        <v>102</v>
      </c>
      <c r="K212" s="94"/>
      <c r="L212" s="103" t="e">
        <f>AVERAGE(L207:L210)</f>
        <v>#REF!</v>
      </c>
      <c r="M212" s="94"/>
      <c r="N212" s="94"/>
    </row>
    <row r="213" spans="1:14">
      <c r="A213" s="94"/>
      <c r="B213" s="94"/>
      <c r="C213" s="94"/>
      <c r="D213" s="94"/>
      <c r="E213" s="94"/>
      <c r="F213" s="94"/>
      <c r="G213" s="94"/>
      <c r="H213" s="94"/>
      <c r="I213" s="94"/>
      <c r="J213" s="104"/>
      <c r="K213" s="94"/>
      <c r="L213" s="103"/>
      <c r="M213" s="102" t="s">
        <v>101</v>
      </c>
      <c r="N213" s="94"/>
    </row>
    <row r="214" spans="1:14" ht="15.6">
      <c r="A214" s="94"/>
      <c r="B214" s="94"/>
      <c r="C214" s="101"/>
      <c r="D214" s="100"/>
      <c r="E214" s="100"/>
      <c r="F214" s="100"/>
      <c r="G214" s="100"/>
      <c r="H214" s="100"/>
      <c r="I214" s="100"/>
      <c r="J214" s="99" t="s">
        <v>100</v>
      </c>
      <c r="K214" s="98"/>
      <c r="L214" s="97" t="e">
        <f>ROUND((L185+L198+L212)/3,5)</f>
        <v>#REF!</v>
      </c>
      <c r="M214" s="94"/>
      <c r="N214" s="94"/>
    </row>
    <row r="215" spans="1:14">
      <c r="A215" s="94"/>
      <c r="B215" s="94"/>
      <c r="C215" s="94"/>
      <c r="D215" s="93"/>
      <c r="E215" s="93"/>
      <c r="F215" s="93"/>
      <c r="G215" s="94"/>
      <c r="H215" s="94"/>
      <c r="I215" s="94"/>
      <c r="J215" s="94"/>
      <c r="K215" s="94"/>
      <c r="L215" s="94"/>
      <c r="M215" s="94"/>
      <c r="N215" s="94"/>
    </row>
    <row r="216" spans="1:14" ht="15.6">
      <c r="A216" s="94"/>
      <c r="B216" s="94"/>
      <c r="C216" s="94"/>
      <c r="D216" s="93"/>
      <c r="E216" s="93"/>
      <c r="F216" s="93"/>
      <c r="G216" s="94"/>
      <c r="H216" s="94"/>
      <c r="I216" s="93"/>
      <c r="J216" s="95"/>
      <c r="K216" s="96"/>
      <c r="L216" s="95" t="s">
        <v>99</v>
      </c>
      <c r="M216" s="94"/>
      <c r="N216" s="94"/>
    </row>
    <row r="217" spans="1:14" ht="14.4" thickBot="1">
      <c r="A217" s="94"/>
      <c r="B217" s="94"/>
      <c r="C217" s="94"/>
      <c r="D217" s="93"/>
      <c r="E217" s="93"/>
      <c r="F217" s="93"/>
      <c r="G217" s="94"/>
      <c r="H217" s="94"/>
      <c r="I217" s="94"/>
      <c r="J217" s="94"/>
      <c r="K217" s="94"/>
      <c r="L217" s="94"/>
      <c r="M217" s="94"/>
      <c r="N217" s="94"/>
    </row>
    <row r="218" spans="1:14" ht="16.2" thickBot="1">
      <c r="A218" s="94"/>
      <c r="B218" s="94"/>
      <c r="C218" s="94"/>
      <c r="D218" s="93"/>
      <c r="E218" s="93"/>
      <c r="F218" s="93"/>
      <c r="G218" s="92"/>
      <c r="H218" s="91"/>
      <c r="I218" s="91"/>
      <c r="J218" s="90" t="s">
        <v>98</v>
      </c>
      <c r="K218" s="89"/>
      <c r="L218" s="88" t="e">
        <f>ROUND((L214*365/12),5)</f>
        <v>#REF!</v>
      </c>
    </row>
    <row r="219" spans="1:14">
      <c r="K219" s="49"/>
    </row>
    <row r="220" spans="1:14">
      <c r="K220" s="49"/>
    </row>
    <row r="221" spans="1:14" s="87" customFormat="1"/>
  </sheetData>
  <mergeCells count="5">
    <mergeCell ref="D54:G54"/>
    <mergeCell ref="B57:B62"/>
    <mergeCell ref="B63:B67"/>
    <mergeCell ref="B68:B71"/>
    <mergeCell ref="B72:B74"/>
  </mergeCells>
  <pageMargins left="0.75" right="0.75" top="1" bottom="1" header="0.5" footer="0.5"/>
  <pageSetup paperSize="5" scale="47" fitToHeight="4" orientation="landscape" r:id="rId1"/>
  <headerFooter alignWithMargins="0"/>
  <rowBreaks count="3" manualBreakCount="3">
    <brk id="47" max="12" man="1"/>
    <brk id="112" max="12" man="1"/>
    <brk id="14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221"/>
  <sheetViews>
    <sheetView view="pageBreakPreview" zoomScale="75" zoomScaleNormal="75" zoomScaleSheetLayoutView="75" workbookViewId="0">
      <selection activeCell="D18" sqref="D18"/>
    </sheetView>
  </sheetViews>
  <sheetFormatPr defaultRowHeight="13.8"/>
  <cols>
    <col min="1" max="1" width="10.5546875" style="13" bestFit="1" customWidth="1"/>
    <col min="2" max="2" width="44.109375" style="13" customWidth="1"/>
    <col min="3" max="3" width="14.6640625" style="13" customWidth="1"/>
    <col min="4" max="4" width="23.6640625" style="13" bestFit="1" customWidth="1"/>
    <col min="5" max="5" width="11.88671875" style="13" customWidth="1"/>
    <col min="6" max="6" width="20.6640625" style="13" customWidth="1"/>
    <col min="7" max="7" width="15.6640625" style="13" customWidth="1"/>
    <col min="8" max="9" width="16.109375" style="13" bestFit="1" customWidth="1"/>
    <col min="10" max="10" width="13.6640625" style="13" customWidth="1"/>
    <col min="11" max="11" width="12.6640625" style="13" bestFit="1" customWidth="1"/>
    <col min="12" max="12" width="15.5546875" style="13" customWidth="1"/>
    <col min="13" max="13" width="16.109375" style="13" bestFit="1" customWidth="1"/>
    <col min="14" max="14" width="13.33203125" style="13" bestFit="1" customWidth="1"/>
    <col min="15" max="15" width="16.33203125" style="13" bestFit="1" customWidth="1"/>
    <col min="16" max="16" width="9.33203125" style="13" bestFit="1" customWidth="1"/>
    <col min="17" max="17" width="13" style="13" bestFit="1" customWidth="1"/>
    <col min="18" max="18" width="20.109375" style="13" bestFit="1" customWidth="1"/>
    <col min="19" max="19" width="50.33203125" style="13" bestFit="1" customWidth="1"/>
    <col min="20" max="20" width="16.109375" style="13" bestFit="1" customWidth="1"/>
    <col min="21" max="21" width="12.33203125" style="13" customWidth="1"/>
    <col min="22" max="22" width="18.88671875" style="13" bestFit="1" customWidth="1"/>
    <col min="23" max="23" width="16.6640625" style="13" customWidth="1"/>
    <col min="24" max="24" width="19" style="13" bestFit="1" customWidth="1"/>
    <col min="25" max="25" width="9.109375" style="13"/>
    <col min="26" max="26" width="18.88671875" style="13" bestFit="1" customWidth="1"/>
    <col min="27" max="256" width="9.109375" style="13"/>
    <col min="257" max="257" width="10.5546875" style="13" bestFit="1" customWidth="1"/>
    <col min="258" max="258" width="44.109375" style="13" customWidth="1"/>
    <col min="259" max="259" width="14.6640625" style="13" customWidth="1"/>
    <col min="260" max="260" width="23.6640625" style="13" bestFit="1" customWidth="1"/>
    <col min="261" max="261" width="11.88671875" style="13" customWidth="1"/>
    <col min="262" max="262" width="20.6640625" style="13" customWidth="1"/>
    <col min="263" max="263" width="15.6640625" style="13" customWidth="1"/>
    <col min="264" max="265" width="16.109375" style="13" bestFit="1" customWidth="1"/>
    <col min="266" max="266" width="13.6640625" style="13" customWidth="1"/>
    <col min="267" max="267" width="12.6640625" style="13" bestFit="1" customWidth="1"/>
    <col min="268" max="268" width="15.5546875" style="13" customWidth="1"/>
    <col min="269" max="269" width="16.109375" style="13" bestFit="1" customWidth="1"/>
    <col min="270" max="270" width="13.33203125" style="13" bestFit="1" customWidth="1"/>
    <col min="271" max="271" width="16.33203125" style="13" bestFit="1" customWidth="1"/>
    <col min="272" max="272" width="9.33203125" style="13" bestFit="1" customWidth="1"/>
    <col min="273" max="273" width="13" style="13" bestFit="1" customWidth="1"/>
    <col min="274" max="274" width="20.109375" style="13" bestFit="1" customWidth="1"/>
    <col min="275" max="275" width="50.33203125" style="13" bestFit="1" customWidth="1"/>
    <col min="276" max="276" width="16.109375" style="13" bestFit="1" customWidth="1"/>
    <col min="277" max="277" width="12.33203125" style="13" customWidth="1"/>
    <col min="278" max="278" width="18.88671875" style="13" bestFit="1" customWidth="1"/>
    <col min="279" max="279" width="16.6640625" style="13" customWidth="1"/>
    <col min="280" max="280" width="19" style="13" bestFit="1" customWidth="1"/>
    <col min="281" max="281" width="9.109375" style="13"/>
    <col min="282" max="282" width="18.88671875" style="13" bestFit="1" customWidth="1"/>
    <col min="283" max="512" width="9.109375" style="13"/>
    <col min="513" max="513" width="10.5546875" style="13" bestFit="1" customWidth="1"/>
    <col min="514" max="514" width="44.109375" style="13" customWidth="1"/>
    <col min="515" max="515" width="14.6640625" style="13" customWidth="1"/>
    <col min="516" max="516" width="23.6640625" style="13" bestFit="1" customWidth="1"/>
    <col min="517" max="517" width="11.88671875" style="13" customWidth="1"/>
    <col min="518" max="518" width="20.6640625" style="13" customWidth="1"/>
    <col min="519" max="519" width="15.6640625" style="13" customWidth="1"/>
    <col min="520" max="521" width="16.109375" style="13" bestFit="1" customWidth="1"/>
    <col min="522" max="522" width="13.6640625" style="13" customWidth="1"/>
    <col min="523" max="523" width="12.6640625" style="13" bestFit="1" customWidth="1"/>
    <col min="524" max="524" width="15.5546875" style="13" customWidth="1"/>
    <col min="525" max="525" width="16.109375" style="13" bestFit="1" customWidth="1"/>
    <col min="526" max="526" width="13.33203125" style="13" bestFit="1" customWidth="1"/>
    <col min="527" max="527" width="16.33203125" style="13" bestFit="1" customWidth="1"/>
    <col min="528" max="528" width="9.33203125" style="13" bestFit="1" customWidth="1"/>
    <col min="529" max="529" width="13" style="13" bestFit="1" customWidth="1"/>
    <col min="530" max="530" width="20.109375" style="13" bestFit="1" customWidth="1"/>
    <col min="531" max="531" width="50.33203125" style="13" bestFit="1" customWidth="1"/>
    <col min="532" max="532" width="16.109375" style="13" bestFit="1" customWidth="1"/>
    <col min="533" max="533" width="12.33203125" style="13" customWidth="1"/>
    <col min="534" max="534" width="18.88671875" style="13" bestFit="1" customWidth="1"/>
    <col min="535" max="535" width="16.6640625" style="13" customWidth="1"/>
    <col min="536" max="536" width="19" style="13" bestFit="1" customWidth="1"/>
    <col min="537" max="537" width="9.109375" style="13"/>
    <col min="538" max="538" width="18.88671875" style="13" bestFit="1" customWidth="1"/>
    <col min="539" max="768" width="9.109375" style="13"/>
    <col min="769" max="769" width="10.5546875" style="13" bestFit="1" customWidth="1"/>
    <col min="770" max="770" width="44.109375" style="13" customWidth="1"/>
    <col min="771" max="771" width="14.6640625" style="13" customWidth="1"/>
    <col min="772" max="772" width="23.6640625" style="13" bestFit="1" customWidth="1"/>
    <col min="773" max="773" width="11.88671875" style="13" customWidth="1"/>
    <col min="774" max="774" width="20.6640625" style="13" customWidth="1"/>
    <col min="775" max="775" width="15.6640625" style="13" customWidth="1"/>
    <col min="776" max="777" width="16.109375" style="13" bestFit="1" customWidth="1"/>
    <col min="778" max="778" width="13.6640625" style="13" customWidth="1"/>
    <col min="779" max="779" width="12.6640625" style="13" bestFit="1" customWidth="1"/>
    <col min="780" max="780" width="15.5546875" style="13" customWidth="1"/>
    <col min="781" max="781" width="16.109375" style="13" bestFit="1" customWidth="1"/>
    <col min="782" max="782" width="13.33203125" style="13" bestFit="1" customWidth="1"/>
    <col min="783" max="783" width="16.33203125" style="13" bestFit="1" customWidth="1"/>
    <col min="784" max="784" width="9.33203125" style="13" bestFit="1" customWidth="1"/>
    <col min="785" max="785" width="13" style="13" bestFit="1" customWidth="1"/>
    <col min="786" max="786" width="20.109375" style="13" bestFit="1" customWidth="1"/>
    <col min="787" max="787" width="50.33203125" style="13" bestFit="1" customWidth="1"/>
    <col min="788" max="788" width="16.109375" style="13" bestFit="1" customWidth="1"/>
    <col min="789" max="789" width="12.33203125" style="13" customWidth="1"/>
    <col min="790" max="790" width="18.88671875" style="13" bestFit="1" customWidth="1"/>
    <col min="791" max="791" width="16.6640625" style="13" customWidth="1"/>
    <col min="792" max="792" width="19" style="13" bestFit="1" customWidth="1"/>
    <col min="793" max="793" width="9.109375" style="13"/>
    <col min="794" max="794" width="18.88671875" style="13" bestFit="1" customWidth="1"/>
    <col min="795" max="1024" width="9.109375" style="13"/>
    <col min="1025" max="1025" width="10.5546875" style="13" bestFit="1" customWidth="1"/>
    <col min="1026" max="1026" width="44.109375" style="13" customWidth="1"/>
    <col min="1027" max="1027" width="14.6640625" style="13" customWidth="1"/>
    <col min="1028" max="1028" width="23.6640625" style="13" bestFit="1" customWidth="1"/>
    <col min="1029" max="1029" width="11.88671875" style="13" customWidth="1"/>
    <col min="1030" max="1030" width="20.6640625" style="13" customWidth="1"/>
    <col min="1031" max="1031" width="15.6640625" style="13" customWidth="1"/>
    <col min="1032" max="1033" width="16.109375" style="13" bestFit="1" customWidth="1"/>
    <col min="1034" max="1034" width="13.6640625" style="13" customWidth="1"/>
    <col min="1035" max="1035" width="12.6640625" style="13" bestFit="1" customWidth="1"/>
    <col min="1036" max="1036" width="15.5546875" style="13" customWidth="1"/>
    <col min="1037" max="1037" width="16.109375" style="13" bestFit="1" customWidth="1"/>
    <col min="1038" max="1038" width="13.33203125" style="13" bestFit="1" customWidth="1"/>
    <col min="1039" max="1039" width="16.33203125" style="13" bestFit="1" customWidth="1"/>
    <col min="1040" max="1040" width="9.33203125" style="13" bestFit="1" customWidth="1"/>
    <col min="1041" max="1041" width="13" style="13" bestFit="1" customWidth="1"/>
    <col min="1042" max="1042" width="20.109375" style="13" bestFit="1" customWidth="1"/>
    <col min="1043" max="1043" width="50.33203125" style="13" bestFit="1" customWidth="1"/>
    <col min="1044" max="1044" width="16.109375" style="13" bestFit="1" customWidth="1"/>
    <col min="1045" max="1045" width="12.33203125" style="13" customWidth="1"/>
    <col min="1046" max="1046" width="18.88671875" style="13" bestFit="1" customWidth="1"/>
    <col min="1047" max="1047" width="16.6640625" style="13" customWidth="1"/>
    <col min="1048" max="1048" width="19" style="13" bestFit="1" customWidth="1"/>
    <col min="1049" max="1049" width="9.109375" style="13"/>
    <col min="1050" max="1050" width="18.88671875" style="13" bestFit="1" customWidth="1"/>
    <col min="1051" max="1280" width="9.109375" style="13"/>
    <col min="1281" max="1281" width="10.5546875" style="13" bestFit="1" customWidth="1"/>
    <col min="1282" max="1282" width="44.109375" style="13" customWidth="1"/>
    <col min="1283" max="1283" width="14.6640625" style="13" customWidth="1"/>
    <col min="1284" max="1284" width="23.6640625" style="13" bestFit="1" customWidth="1"/>
    <col min="1285" max="1285" width="11.88671875" style="13" customWidth="1"/>
    <col min="1286" max="1286" width="20.6640625" style="13" customWidth="1"/>
    <col min="1287" max="1287" width="15.6640625" style="13" customWidth="1"/>
    <col min="1288" max="1289" width="16.109375" style="13" bestFit="1" customWidth="1"/>
    <col min="1290" max="1290" width="13.6640625" style="13" customWidth="1"/>
    <col min="1291" max="1291" width="12.6640625" style="13" bestFit="1" customWidth="1"/>
    <col min="1292" max="1292" width="15.5546875" style="13" customWidth="1"/>
    <col min="1293" max="1293" width="16.109375" style="13" bestFit="1" customWidth="1"/>
    <col min="1294" max="1294" width="13.33203125" style="13" bestFit="1" customWidth="1"/>
    <col min="1295" max="1295" width="16.33203125" style="13" bestFit="1" customWidth="1"/>
    <col min="1296" max="1296" width="9.33203125" style="13" bestFit="1" customWidth="1"/>
    <col min="1297" max="1297" width="13" style="13" bestFit="1" customWidth="1"/>
    <col min="1298" max="1298" width="20.109375" style="13" bestFit="1" customWidth="1"/>
    <col min="1299" max="1299" width="50.33203125" style="13" bestFit="1" customWidth="1"/>
    <col min="1300" max="1300" width="16.109375" style="13" bestFit="1" customWidth="1"/>
    <col min="1301" max="1301" width="12.33203125" style="13" customWidth="1"/>
    <col min="1302" max="1302" width="18.88671875" style="13" bestFit="1" customWidth="1"/>
    <col min="1303" max="1303" width="16.6640625" style="13" customWidth="1"/>
    <col min="1304" max="1304" width="19" style="13" bestFit="1" customWidth="1"/>
    <col min="1305" max="1305" width="9.109375" style="13"/>
    <col min="1306" max="1306" width="18.88671875" style="13" bestFit="1" customWidth="1"/>
    <col min="1307" max="1536" width="9.109375" style="13"/>
    <col min="1537" max="1537" width="10.5546875" style="13" bestFit="1" customWidth="1"/>
    <col min="1538" max="1538" width="44.109375" style="13" customWidth="1"/>
    <col min="1539" max="1539" width="14.6640625" style="13" customWidth="1"/>
    <col min="1540" max="1540" width="23.6640625" style="13" bestFit="1" customWidth="1"/>
    <col min="1541" max="1541" width="11.88671875" style="13" customWidth="1"/>
    <col min="1542" max="1542" width="20.6640625" style="13" customWidth="1"/>
    <col min="1543" max="1543" width="15.6640625" style="13" customWidth="1"/>
    <col min="1544" max="1545" width="16.109375" style="13" bestFit="1" customWidth="1"/>
    <col min="1546" max="1546" width="13.6640625" style="13" customWidth="1"/>
    <col min="1547" max="1547" width="12.6640625" style="13" bestFit="1" customWidth="1"/>
    <col min="1548" max="1548" width="15.5546875" style="13" customWidth="1"/>
    <col min="1549" max="1549" width="16.109375" style="13" bestFit="1" customWidth="1"/>
    <col min="1550" max="1550" width="13.33203125" style="13" bestFit="1" customWidth="1"/>
    <col min="1551" max="1551" width="16.33203125" style="13" bestFit="1" customWidth="1"/>
    <col min="1552" max="1552" width="9.33203125" style="13" bestFit="1" customWidth="1"/>
    <col min="1553" max="1553" width="13" style="13" bestFit="1" customWidth="1"/>
    <col min="1554" max="1554" width="20.109375" style="13" bestFit="1" customWidth="1"/>
    <col min="1555" max="1555" width="50.33203125" style="13" bestFit="1" customWidth="1"/>
    <col min="1556" max="1556" width="16.109375" style="13" bestFit="1" customWidth="1"/>
    <col min="1557" max="1557" width="12.33203125" style="13" customWidth="1"/>
    <col min="1558" max="1558" width="18.88671875" style="13" bestFit="1" customWidth="1"/>
    <col min="1559" max="1559" width="16.6640625" style="13" customWidth="1"/>
    <col min="1560" max="1560" width="19" style="13" bestFit="1" customWidth="1"/>
    <col min="1561" max="1561" width="9.109375" style="13"/>
    <col min="1562" max="1562" width="18.88671875" style="13" bestFit="1" customWidth="1"/>
    <col min="1563" max="1792" width="9.109375" style="13"/>
    <col min="1793" max="1793" width="10.5546875" style="13" bestFit="1" customWidth="1"/>
    <col min="1794" max="1794" width="44.109375" style="13" customWidth="1"/>
    <col min="1795" max="1795" width="14.6640625" style="13" customWidth="1"/>
    <col min="1796" max="1796" width="23.6640625" style="13" bestFit="1" customWidth="1"/>
    <col min="1797" max="1797" width="11.88671875" style="13" customWidth="1"/>
    <col min="1798" max="1798" width="20.6640625" style="13" customWidth="1"/>
    <col min="1799" max="1799" width="15.6640625" style="13" customWidth="1"/>
    <col min="1800" max="1801" width="16.109375" style="13" bestFit="1" customWidth="1"/>
    <col min="1802" max="1802" width="13.6640625" style="13" customWidth="1"/>
    <col min="1803" max="1803" width="12.6640625" style="13" bestFit="1" customWidth="1"/>
    <col min="1804" max="1804" width="15.5546875" style="13" customWidth="1"/>
    <col min="1805" max="1805" width="16.109375" style="13" bestFit="1" customWidth="1"/>
    <col min="1806" max="1806" width="13.33203125" style="13" bestFit="1" customWidth="1"/>
    <col min="1807" max="1807" width="16.33203125" style="13" bestFit="1" customWidth="1"/>
    <col min="1808" max="1808" width="9.33203125" style="13" bestFit="1" customWidth="1"/>
    <col min="1809" max="1809" width="13" style="13" bestFit="1" customWidth="1"/>
    <col min="1810" max="1810" width="20.109375" style="13" bestFit="1" customWidth="1"/>
    <col min="1811" max="1811" width="50.33203125" style="13" bestFit="1" customWidth="1"/>
    <col min="1812" max="1812" width="16.109375" style="13" bestFit="1" customWidth="1"/>
    <col min="1813" max="1813" width="12.33203125" style="13" customWidth="1"/>
    <col min="1814" max="1814" width="18.88671875" style="13" bestFit="1" customWidth="1"/>
    <col min="1815" max="1815" width="16.6640625" style="13" customWidth="1"/>
    <col min="1816" max="1816" width="19" style="13" bestFit="1" customWidth="1"/>
    <col min="1817" max="1817" width="9.109375" style="13"/>
    <col min="1818" max="1818" width="18.88671875" style="13" bestFit="1" customWidth="1"/>
    <col min="1819" max="2048" width="9.109375" style="13"/>
    <col min="2049" max="2049" width="10.5546875" style="13" bestFit="1" customWidth="1"/>
    <col min="2050" max="2050" width="44.109375" style="13" customWidth="1"/>
    <col min="2051" max="2051" width="14.6640625" style="13" customWidth="1"/>
    <col min="2052" max="2052" width="23.6640625" style="13" bestFit="1" customWidth="1"/>
    <col min="2053" max="2053" width="11.88671875" style="13" customWidth="1"/>
    <col min="2054" max="2054" width="20.6640625" style="13" customWidth="1"/>
    <col min="2055" max="2055" width="15.6640625" style="13" customWidth="1"/>
    <col min="2056" max="2057" width="16.109375" style="13" bestFit="1" customWidth="1"/>
    <col min="2058" max="2058" width="13.6640625" style="13" customWidth="1"/>
    <col min="2059" max="2059" width="12.6640625" style="13" bestFit="1" customWidth="1"/>
    <col min="2060" max="2060" width="15.5546875" style="13" customWidth="1"/>
    <col min="2061" max="2061" width="16.109375" style="13" bestFit="1" customWidth="1"/>
    <col min="2062" max="2062" width="13.33203125" style="13" bestFit="1" customWidth="1"/>
    <col min="2063" max="2063" width="16.33203125" style="13" bestFit="1" customWidth="1"/>
    <col min="2064" max="2064" width="9.33203125" style="13" bestFit="1" customWidth="1"/>
    <col min="2065" max="2065" width="13" style="13" bestFit="1" customWidth="1"/>
    <col min="2066" max="2066" width="20.109375" style="13" bestFit="1" customWidth="1"/>
    <col min="2067" max="2067" width="50.33203125" style="13" bestFit="1" customWidth="1"/>
    <col min="2068" max="2068" width="16.109375" style="13" bestFit="1" customWidth="1"/>
    <col min="2069" max="2069" width="12.33203125" style="13" customWidth="1"/>
    <col min="2070" max="2070" width="18.88671875" style="13" bestFit="1" customWidth="1"/>
    <col min="2071" max="2071" width="16.6640625" style="13" customWidth="1"/>
    <col min="2072" max="2072" width="19" style="13" bestFit="1" customWidth="1"/>
    <col min="2073" max="2073" width="9.109375" style="13"/>
    <col min="2074" max="2074" width="18.88671875" style="13" bestFit="1" customWidth="1"/>
    <col min="2075" max="2304" width="9.109375" style="13"/>
    <col min="2305" max="2305" width="10.5546875" style="13" bestFit="1" customWidth="1"/>
    <col min="2306" max="2306" width="44.109375" style="13" customWidth="1"/>
    <col min="2307" max="2307" width="14.6640625" style="13" customWidth="1"/>
    <col min="2308" max="2308" width="23.6640625" style="13" bestFit="1" customWidth="1"/>
    <col min="2309" max="2309" width="11.88671875" style="13" customWidth="1"/>
    <col min="2310" max="2310" width="20.6640625" style="13" customWidth="1"/>
    <col min="2311" max="2311" width="15.6640625" style="13" customWidth="1"/>
    <col min="2312" max="2313" width="16.109375" style="13" bestFit="1" customWidth="1"/>
    <col min="2314" max="2314" width="13.6640625" style="13" customWidth="1"/>
    <col min="2315" max="2315" width="12.6640625" style="13" bestFit="1" customWidth="1"/>
    <col min="2316" max="2316" width="15.5546875" style="13" customWidth="1"/>
    <col min="2317" max="2317" width="16.109375" style="13" bestFit="1" customWidth="1"/>
    <col min="2318" max="2318" width="13.33203125" style="13" bestFit="1" customWidth="1"/>
    <col min="2319" max="2319" width="16.33203125" style="13" bestFit="1" customWidth="1"/>
    <col min="2320" max="2320" width="9.33203125" style="13" bestFit="1" customWidth="1"/>
    <col min="2321" max="2321" width="13" style="13" bestFit="1" customWidth="1"/>
    <col min="2322" max="2322" width="20.109375" style="13" bestFit="1" customWidth="1"/>
    <col min="2323" max="2323" width="50.33203125" style="13" bestFit="1" customWidth="1"/>
    <col min="2324" max="2324" width="16.109375" style="13" bestFit="1" customWidth="1"/>
    <col min="2325" max="2325" width="12.33203125" style="13" customWidth="1"/>
    <col min="2326" max="2326" width="18.88671875" style="13" bestFit="1" customWidth="1"/>
    <col min="2327" max="2327" width="16.6640625" style="13" customWidth="1"/>
    <col min="2328" max="2328" width="19" style="13" bestFit="1" customWidth="1"/>
    <col min="2329" max="2329" width="9.109375" style="13"/>
    <col min="2330" max="2330" width="18.88671875" style="13" bestFit="1" customWidth="1"/>
    <col min="2331" max="2560" width="9.109375" style="13"/>
    <col min="2561" max="2561" width="10.5546875" style="13" bestFit="1" customWidth="1"/>
    <col min="2562" max="2562" width="44.109375" style="13" customWidth="1"/>
    <col min="2563" max="2563" width="14.6640625" style="13" customWidth="1"/>
    <col min="2564" max="2564" width="23.6640625" style="13" bestFit="1" customWidth="1"/>
    <col min="2565" max="2565" width="11.88671875" style="13" customWidth="1"/>
    <col min="2566" max="2566" width="20.6640625" style="13" customWidth="1"/>
    <col min="2567" max="2567" width="15.6640625" style="13" customWidth="1"/>
    <col min="2568" max="2569" width="16.109375" style="13" bestFit="1" customWidth="1"/>
    <col min="2570" max="2570" width="13.6640625" style="13" customWidth="1"/>
    <col min="2571" max="2571" width="12.6640625" style="13" bestFit="1" customWidth="1"/>
    <col min="2572" max="2572" width="15.5546875" style="13" customWidth="1"/>
    <col min="2573" max="2573" width="16.109375" style="13" bestFit="1" customWidth="1"/>
    <col min="2574" max="2574" width="13.33203125" style="13" bestFit="1" customWidth="1"/>
    <col min="2575" max="2575" width="16.33203125" style="13" bestFit="1" customWidth="1"/>
    <col min="2576" max="2576" width="9.33203125" style="13" bestFit="1" customWidth="1"/>
    <col min="2577" max="2577" width="13" style="13" bestFit="1" customWidth="1"/>
    <col min="2578" max="2578" width="20.109375" style="13" bestFit="1" customWidth="1"/>
    <col min="2579" max="2579" width="50.33203125" style="13" bestFit="1" customWidth="1"/>
    <col min="2580" max="2580" width="16.109375" style="13" bestFit="1" customWidth="1"/>
    <col min="2581" max="2581" width="12.33203125" style="13" customWidth="1"/>
    <col min="2582" max="2582" width="18.88671875" style="13" bestFit="1" customWidth="1"/>
    <col min="2583" max="2583" width="16.6640625" style="13" customWidth="1"/>
    <col min="2584" max="2584" width="19" style="13" bestFit="1" customWidth="1"/>
    <col min="2585" max="2585" width="9.109375" style="13"/>
    <col min="2586" max="2586" width="18.88671875" style="13" bestFit="1" customWidth="1"/>
    <col min="2587" max="2816" width="9.109375" style="13"/>
    <col min="2817" max="2817" width="10.5546875" style="13" bestFit="1" customWidth="1"/>
    <col min="2818" max="2818" width="44.109375" style="13" customWidth="1"/>
    <col min="2819" max="2819" width="14.6640625" style="13" customWidth="1"/>
    <col min="2820" max="2820" width="23.6640625" style="13" bestFit="1" customWidth="1"/>
    <col min="2821" max="2821" width="11.88671875" style="13" customWidth="1"/>
    <col min="2822" max="2822" width="20.6640625" style="13" customWidth="1"/>
    <col min="2823" max="2823" width="15.6640625" style="13" customWidth="1"/>
    <col min="2824" max="2825" width="16.109375" style="13" bestFit="1" customWidth="1"/>
    <col min="2826" max="2826" width="13.6640625" style="13" customWidth="1"/>
    <col min="2827" max="2827" width="12.6640625" style="13" bestFit="1" customWidth="1"/>
    <col min="2828" max="2828" width="15.5546875" style="13" customWidth="1"/>
    <col min="2829" max="2829" width="16.109375" style="13" bestFit="1" customWidth="1"/>
    <col min="2830" max="2830" width="13.33203125" style="13" bestFit="1" customWidth="1"/>
    <col min="2831" max="2831" width="16.33203125" style="13" bestFit="1" customWidth="1"/>
    <col min="2832" max="2832" width="9.33203125" style="13" bestFit="1" customWidth="1"/>
    <col min="2833" max="2833" width="13" style="13" bestFit="1" customWidth="1"/>
    <col min="2834" max="2834" width="20.109375" style="13" bestFit="1" customWidth="1"/>
    <col min="2835" max="2835" width="50.33203125" style="13" bestFit="1" customWidth="1"/>
    <col min="2836" max="2836" width="16.109375" style="13" bestFit="1" customWidth="1"/>
    <col min="2837" max="2837" width="12.33203125" style="13" customWidth="1"/>
    <col min="2838" max="2838" width="18.88671875" style="13" bestFit="1" customWidth="1"/>
    <col min="2839" max="2839" width="16.6640625" style="13" customWidth="1"/>
    <col min="2840" max="2840" width="19" style="13" bestFit="1" customWidth="1"/>
    <col min="2841" max="2841" width="9.109375" style="13"/>
    <col min="2842" max="2842" width="18.88671875" style="13" bestFit="1" customWidth="1"/>
    <col min="2843" max="3072" width="9.109375" style="13"/>
    <col min="3073" max="3073" width="10.5546875" style="13" bestFit="1" customWidth="1"/>
    <col min="3074" max="3074" width="44.109375" style="13" customWidth="1"/>
    <col min="3075" max="3075" width="14.6640625" style="13" customWidth="1"/>
    <col min="3076" max="3076" width="23.6640625" style="13" bestFit="1" customWidth="1"/>
    <col min="3077" max="3077" width="11.88671875" style="13" customWidth="1"/>
    <col min="3078" max="3078" width="20.6640625" style="13" customWidth="1"/>
    <col min="3079" max="3079" width="15.6640625" style="13" customWidth="1"/>
    <col min="3080" max="3081" width="16.109375" style="13" bestFit="1" customWidth="1"/>
    <col min="3082" max="3082" width="13.6640625" style="13" customWidth="1"/>
    <col min="3083" max="3083" width="12.6640625" style="13" bestFit="1" customWidth="1"/>
    <col min="3084" max="3084" width="15.5546875" style="13" customWidth="1"/>
    <col min="3085" max="3085" width="16.109375" style="13" bestFit="1" customWidth="1"/>
    <col min="3086" max="3086" width="13.33203125" style="13" bestFit="1" customWidth="1"/>
    <col min="3087" max="3087" width="16.33203125" style="13" bestFit="1" customWidth="1"/>
    <col min="3088" max="3088" width="9.33203125" style="13" bestFit="1" customWidth="1"/>
    <col min="3089" max="3089" width="13" style="13" bestFit="1" customWidth="1"/>
    <col min="3090" max="3090" width="20.109375" style="13" bestFit="1" customWidth="1"/>
    <col min="3091" max="3091" width="50.33203125" style="13" bestFit="1" customWidth="1"/>
    <col min="3092" max="3092" width="16.109375" style="13" bestFit="1" customWidth="1"/>
    <col min="3093" max="3093" width="12.33203125" style="13" customWidth="1"/>
    <col min="3094" max="3094" width="18.88671875" style="13" bestFit="1" customWidth="1"/>
    <col min="3095" max="3095" width="16.6640625" style="13" customWidth="1"/>
    <col min="3096" max="3096" width="19" style="13" bestFit="1" customWidth="1"/>
    <col min="3097" max="3097" width="9.109375" style="13"/>
    <col min="3098" max="3098" width="18.88671875" style="13" bestFit="1" customWidth="1"/>
    <col min="3099" max="3328" width="9.109375" style="13"/>
    <col min="3329" max="3329" width="10.5546875" style="13" bestFit="1" customWidth="1"/>
    <col min="3330" max="3330" width="44.109375" style="13" customWidth="1"/>
    <col min="3331" max="3331" width="14.6640625" style="13" customWidth="1"/>
    <col min="3332" max="3332" width="23.6640625" style="13" bestFit="1" customWidth="1"/>
    <col min="3333" max="3333" width="11.88671875" style="13" customWidth="1"/>
    <col min="3334" max="3334" width="20.6640625" style="13" customWidth="1"/>
    <col min="3335" max="3335" width="15.6640625" style="13" customWidth="1"/>
    <col min="3336" max="3337" width="16.109375" style="13" bestFit="1" customWidth="1"/>
    <col min="3338" max="3338" width="13.6640625" style="13" customWidth="1"/>
    <col min="3339" max="3339" width="12.6640625" style="13" bestFit="1" customWidth="1"/>
    <col min="3340" max="3340" width="15.5546875" style="13" customWidth="1"/>
    <col min="3341" max="3341" width="16.109375" style="13" bestFit="1" customWidth="1"/>
    <col min="3342" max="3342" width="13.33203125" style="13" bestFit="1" customWidth="1"/>
    <col min="3343" max="3343" width="16.33203125" style="13" bestFit="1" customWidth="1"/>
    <col min="3344" max="3344" width="9.33203125" style="13" bestFit="1" customWidth="1"/>
    <col min="3345" max="3345" width="13" style="13" bestFit="1" customWidth="1"/>
    <col min="3346" max="3346" width="20.109375" style="13" bestFit="1" customWidth="1"/>
    <col min="3347" max="3347" width="50.33203125" style="13" bestFit="1" customWidth="1"/>
    <col min="3348" max="3348" width="16.109375" style="13" bestFit="1" customWidth="1"/>
    <col min="3349" max="3349" width="12.33203125" style="13" customWidth="1"/>
    <col min="3350" max="3350" width="18.88671875" style="13" bestFit="1" customWidth="1"/>
    <col min="3351" max="3351" width="16.6640625" style="13" customWidth="1"/>
    <col min="3352" max="3352" width="19" style="13" bestFit="1" customWidth="1"/>
    <col min="3353" max="3353" width="9.109375" style="13"/>
    <col min="3354" max="3354" width="18.88671875" style="13" bestFit="1" customWidth="1"/>
    <col min="3355" max="3584" width="9.109375" style="13"/>
    <col min="3585" max="3585" width="10.5546875" style="13" bestFit="1" customWidth="1"/>
    <col min="3586" max="3586" width="44.109375" style="13" customWidth="1"/>
    <col min="3587" max="3587" width="14.6640625" style="13" customWidth="1"/>
    <col min="3588" max="3588" width="23.6640625" style="13" bestFit="1" customWidth="1"/>
    <col min="3589" max="3589" width="11.88671875" style="13" customWidth="1"/>
    <col min="3590" max="3590" width="20.6640625" style="13" customWidth="1"/>
    <col min="3591" max="3591" width="15.6640625" style="13" customWidth="1"/>
    <col min="3592" max="3593" width="16.109375" style="13" bestFit="1" customWidth="1"/>
    <col min="3594" max="3594" width="13.6640625" style="13" customWidth="1"/>
    <col min="3595" max="3595" width="12.6640625" style="13" bestFit="1" customWidth="1"/>
    <col min="3596" max="3596" width="15.5546875" style="13" customWidth="1"/>
    <col min="3597" max="3597" width="16.109375" style="13" bestFit="1" customWidth="1"/>
    <col min="3598" max="3598" width="13.33203125" style="13" bestFit="1" customWidth="1"/>
    <col min="3599" max="3599" width="16.33203125" style="13" bestFit="1" customWidth="1"/>
    <col min="3600" max="3600" width="9.33203125" style="13" bestFit="1" customWidth="1"/>
    <col min="3601" max="3601" width="13" style="13" bestFit="1" customWidth="1"/>
    <col min="3602" max="3602" width="20.109375" style="13" bestFit="1" customWidth="1"/>
    <col min="3603" max="3603" width="50.33203125" style="13" bestFit="1" customWidth="1"/>
    <col min="3604" max="3604" width="16.109375" style="13" bestFit="1" customWidth="1"/>
    <col min="3605" max="3605" width="12.33203125" style="13" customWidth="1"/>
    <col min="3606" max="3606" width="18.88671875" style="13" bestFit="1" customWidth="1"/>
    <col min="3607" max="3607" width="16.6640625" style="13" customWidth="1"/>
    <col min="3608" max="3608" width="19" style="13" bestFit="1" customWidth="1"/>
    <col min="3609" max="3609" width="9.109375" style="13"/>
    <col min="3610" max="3610" width="18.88671875" style="13" bestFit="1" customWidth="1"/>
    <col min="3611" max="3840" width="9.109375" style="13"/>
    <col min="3841" max="3841" width="10.5546875" style="13" bestFit="1" customWidth="1"/>
    <col min="3842" max="3842" width="44.109375" style="13" customWidth="1"/>
    <col min="3843" max="3843" width="14.6640625" style="13" customWidth="1"/>
    <col min="3844" max="3844" width="23.6640625" style="13" bestFit="1" customWidth="1"/>
    <col min="3845" max="3845" width="11.88671875" style="13" customWidth="1"/>
    <col min="3846" max="3846" width="20.6640625" style="13" customWidth="1"/>
    <col min="3847" max="3847" width="15.6640625" style="13" customWidth="1"/>
    <col min="3848" max="3849" width="16.109375" style="13" bestFit="1" customWidth="1"/>
    <col min="3850" max="3850" width="13.6640625" style="13" customWidth="1"/>
    <col min="3851" max="3851" width="12.6640625" style="13" bestFit="1" customWidth="1"/>
    <col min="3852" max="3852" width="15.5546875" style="13" customWidth="1"/>
    <col min="3853" max="3853" width="16.109375" style="13" bestFit="1" customWidth="1"/>
    <col min="3854" max="3854" width="13.33203125" style="13" bestFit="1" customWidth="1"/>
    <col min="3855" max="3855" width="16.33203125" style="13" bestFit="1" customWidth="1"/>
    <col min="3856" max="3856" width="9.33203125" style="13" bestFit="1" customWidth="1"/>
    <col min="3857" max="3857" width="13" style="13" bestFit="1" customWidth="1"/>
    <col min="3858" max="3858" width="20.109375" style="13" bestFit="1" customWidth="1"/>
    <col min="3859" max="3859" width="50.33203125" style="13" bestFit="1" customWidth="1"/>
    <col min="3860" max="3860" width="16.109375" style="13" bestFit="1" customWidth="1"/>
    <col min="3861" max="3861" width="12.33203125" style="13" customWidth="1"/>
    <col min="3862" max="3862" width="18.88671875" style="13" bestFit="1" customWidth="1"/>
    <col min="3863" max="3863" width="16.6640625" style="13" customWidth="1"/>
    <col min="3864" max="3864" width="19" style="13" bestFit="1" customWidth="1"/>
    <col min="3865" max="3865" width="9.109375" style="13"/>
    <col min="3866" max="3866" width="18.88671875" style="13" bestFit="1" customWidth="1"/>
    <col min="3867" max="4096" width="9.109375" style="13"/>
    <col min="4097" max="4097" width="10.5546875" style="13" bestFit="1" customWidth="1"/>
    <col min="4098" max="4098" width="44.109375" style="13" customWidth="1"/>
    <col min="4099" max="4099" width="14.6640625" style="13" customWidth="1"/>
    <col min="4100" max="4100" width="23.6640625" style="13" bestFit="1" customWidth="1"/>
    <col min="4101" max="4101" width="11.88671875" style="13" customWidth="1"/>
    <col min="4102" max="4102" width="20.6640625" style="13" customWidth="1"/>
    <col min="4103" max="4103" width="15.6640625" style="13" customWidth="1"/>
    <col min="4104" max="4105" width="16.109375" style="13" bestFit="1" customWidth="1"/>
    <col min="4106" max="4106" width="13.6640625" style="13" customWidth="1"/>
    <col min="4107" max="4107" width="12.6640625" style="13" bestFit="1" customWidth="1"/>
    <col min="4108" max="4108" width="15.5546875" style="13" customWidth="1"/>
    <col min="4109" max="4109" width="16.109375" style="13" bestFit="1" customWidth="1"/>
    <col min="4110" max="4110" width="13.33203125" style="13" bestFit="1" customWidth="1"/>
    <col min="4111" max="4111" width="16.33203125" style="13" bestFit="1" customWidth="1"/>
    <col min="4112" max="4112" width="9.33203125" style="13" bestFit="1" customWidth="1"/>
    <col min="4113" max="4113" width="13" style="13" bestFit="1" customWidth="1"/>
    <col min="4114" max="4114" width="20.109375" style="13" bestFit="1" customWidth="1"/>
    <col min="4115" max="4115" width="50.33203125" style="13" bestFit="1" customWidth="1"/>
    <col min="4116" max="4116" width="16.109375" style="13" bestFit="1" customWidth="1"/>
    <col min="4117" max="4117" width="12.33203125" style="13" customWidth="1"/>
    <col min="4118" max="4118" width="18.88671875" style="13" bestFit="1" customWidth="1"/>
    <col min="4119" max="4119" width="16.6640625" style="13" customWidth="1"/>
    <col min="4120" max="4120" width="19" style="13" bestFit="1" customWidth="1"/>
    <col min="4121" max="4121" width="9.109375" style="13"/>
    <col min="4122" max="4122" width="18.88671875" style="13" bestFit="1" customWidth="1"/>
    <col min="4123" max="4352" width="9.109375" style="13"/>
    <col min="4353" max="4353" width="10.5546875" style="13" bestFit="1" customWidth="1"/>
    <col min="4354" max="4354" width="44.109375" style="13" customWidth="1"/>
    <col min="4355" max="4355" width="14.6640625" style="13" customWidth="1"/>
    <col min="4356" max="4356" width="23.6640625" style="13" bestFit="1" customWidth="1"/>
    <col min="4357" max="4357" width="11.88671875" style="13" customWidth="1"/>
    <col min="4358" max="4358" width="20.6640625" style="13" customWidth="1"/>
    <col min="4359" max="4359" width="15.6640625" style="13" customWidth="1"/>
    <col min="4360" max="4361" width="16.109375" style="13" bestFit="1" customWidth="1"/>
    <col min="4362" max="4362" width="13.6640625" style="13" customWidth="1"/>
    <col min="4363" max="4363" width="12.6640625" style="13" bestFit="1" customWidth="1"/>
    <col min="4364" max="4364" width="15.5546875" style="13" customWidth="1"/>
    <col min="4365" max="4365" width="16.109375" style="13" bestFit="1" customWidth="1"/>
    <col min="4366" max="4366" width="13.33203125" style="13" bestFit="1" customWidth="1"/>
    <col min="4367" max="4367" width="16.33203125" style="13" bestFit="1" customWidth="1"/>
    <col min="4368" max="4368" width="9.33203125" style="13" bestFit="1" customWidth="1"/>
    <col min="4369" max="4369" width="13" style="13" bestFit="1" customWidth="1"/>
    <col min="4370" max="4370" width="20.109375" style="13" bestFit="1" customWidth="1"/>
    <col min="4371" max="4371" width="50.33203125" style="13" bestFit="1" customWidth="1"/>
    <col min="4372" max="4372" width="16.109375" style="13" bestFit="1" customWidth="1"/>
    <col min="4373" max="4373" width="12.33203125" style="13" customWidth="1"/>
    <col min="4374" max="4374" width="18.88671875" style="13" bestFit="1" customWidth="1"/>
    <col min="4375" max="4375" width="16.6640625" style="13" customWidth="1"/>
    <col min="4376" max="4376" width="19" style="13" bestFit="1" customWidth="1"/>
    <col min="4377" max="4377" width="9.109375" style="13"/>
    <col min="4378" max="4378" width="18.88671875" style="13" bestFit="1" customWidth="1"/>
    <col min="4379" max="4608" width="9.109375" style="13"/>
    <col min="4609" max="4609" width="10.5546875" style="13" bestFit="1" customWidth="1"/>
    <col min="4610" max="4610" width="44.109375" style="13" customWidth="1"/>
    <col min="4611" max="4611" width="14.6640625" style="13" customWidth="1"/>
    <col min="4612" max="4612" width="23.6640625" style="13" bestFit="1" customWidth="1"/>
    <col min="4613" max="4613" width="11.88671875" style="13" customWidth="1"/>
    <col min="4614" max="4614" width="20.6640625" style="13" customWidth="1"/>
    <col min="4615" max="4615" width="15.6640625" style="13" customWidth="1"/>
    <col min="4616" max="4617" width="16.109375" style="13" bestFit="1" customWidth="1"/>
    <col min="4618" max="4618" width="13.6640625" style="13" customWidth="1"/>
    <col min="4619" max="4619" width="12.6640625" style="13" bestFit="1" customWidth="1"/>
    <col min="4620" max="4620" width="15.5546875" style="13" customWidth="1"/>
    <col min="4621" max="4621" width="16.109375" style="13" bestFit="1" customWidth="1"/>
    <col min="4622" max="4622" width="13.33203125" style="13" bestFit="1" customWidth="1"/>
    <col min="4623" max="4623" width="16.33203125" style="13" bestFit="1" customWidth="1"/>
    <col min="4624" max="4624" width="9.33203125" style="13" bestFit="1" customWidth="1"/>
    <col min="4625" max="4625" width="13" style="13" bestFit="1" customWidth="1"/>
    <col min="4626" max="4626" width="20.109375" style="13" bestFit="1" customWidth="1"/>
    <col min="4627" max="4627" width="50.33203125" style="13" bestFit="1" customWidth="1"/>
    <col min="4628" max="4628" width="16.109375" style="13" bestFit="1" customWidth="1"/>
    <col min="4629" max="4629" width="12.33203125" style="13" customWidth="1"/>
    <col min="4630" max="4630" width="18.88671875" style="13" bestFit="1" customWidth="1"/>
    <col min="4631" max="4631" width="16.6640625" style="13" customWidth="1"/>
    <col min="4632" max="4632" width="19" style="13" bestFit="1" customWidth="1"/>
    <col min="4633" max="4633" width="9.109375" style="13"/>
    <col min="4634" max="4634" width="18.88671875" style="13" bestFit="1" customWidth="1"/>
    <col min="4635" max="4864" width="9.109375" style="13"/>
    <col min="4865" max="4865" width="10.5546875" style="13" bestFit="1" customWidth="1"/>
    <col min="4866" max="4866" width="44.109375" style="13" customWidth="1"/>
    <col min="4867" max="4867" width="14.6640625" style="13" customWidth="1"/>
    <col min="4868" max="4868" width="23.6640625" style="13" bestFit="1" customWidth="1"/>
    <col min="4869" max="4869" width="11.88671875" style="13" customWidth="1"/>
    <col min="4870" max="4870" width="20.6640625" style="13" customWidth="1"/>
    <col min="4871" max="4871" width="15.6640625" style="13" customWidth="1"/>
    <col min="4872" max="4873" width="16.109375" style="13" bestFit="1" customWidth="1"/>
    <col min="4874" max="4874" width="13.6640625" style="13" customWidth="1"/>
    <col min="4875" max="4875" width="12.6640625" style="13" bestFit="1" customWidth="1"/>
    <col min="4876" max="4876" width="15.5546875" style="13" customWidth="1"/>
    <col min="4877" max="4877" width="16.109375" style="13" bestFit="1" customWidth="1"/>
    <col min="4878" max="4878" width="13.33203125" style="13" bestFit="1" customWidth="1"/>
    <col min="4879" max="4879" width="16.33203125" style="13" bestFit="1" customWidth="1"/>
    <col min="4880" max="4880" width="9.33203125" style="13" bestFit="1" customWidth="1"/>
    <col min="4881" max="4881" width="13" style="13" bestFit="1" customWidth="1"/>
    <col min="4882" max="4882" width="20.109375" style="13" bestFit="1" customWidth="1"/>
    <col min="4883" max="4883" width="50.33203125" style="13" bestFit="1" customWidth="1"/>
    <col min="4884" max="4884" width="16.109375" style="13" bestFit="1" customWidth="1"/>
    <col min="4885" max="4885" width="12.33203125" style="13" customWidth="1"/>
    <col min="4886" max="4886" width="18.88671875" style="13" bestFit="1" customWidth="1"/>
    <col min="4887" max="4887" width="16.6640625" style="13" customWidth="1"/>
    <col min="4888" max="4888" width="19" style="13" bestFit="1" customWidth="1"/>
    <col min="4889" max="4889" width="9.109375" style="13"/>
    <col min="4890" max="4890" width="18.88671875" style="13" bestFit="1" customWidth="1"/>
    <col min="4891" max="5120" width="9.109375" style="13"/>
    <col min="5121" max="5121" width="10.5546875" style="13" bestFit="1" customWidth="1"/>
    <col min="5122" max="5122" width="44.109375" style="13" customWidth="1"/>
    <col min="5123" max="5123" width="14.6640625" style="13" customWidth="1"/>
    <col min="5124" max="5124" width="23.6640625" style="13" bestFit="1" customWidth="1"/>
    <col min="5125" max="5125" width="11.88671875" style="13" customWidth="1"/>
    <col min="5126" max="5126" width="20.6640625" style="13" customWidth="1"/>
    <col min="5127" max="5127" width="15.6640625" style="13" customWidth="1"/>
    <col min="5128" max="5129" width="16.109375" style="13" bestFit="1" customWidth="1"/>
    <col min="5130" max="5130" width="13.6640625" style="13" customWidth="1"/>
    <col min="5131" max="5131" width="12.6640625" style="13" bestFit="1" customWidth="1"/>
    <col min="5132" max="5132" width="15.5546875" style="13" customWidth="1"/>
    <col min="5133" max="5133" width="16.109375" style="13" bestFit="1" customWidth="1"/>
    <col min="5134" max="5134" width="13.33203125" style="13" bestFit="1" customWidth="1"/>
    <col min="5135" max="5135" width="16.33203125" style="13" bestFit="1" customWidth="1"/>
    <col min="5136" max="5136" width="9.33203125" style="13" bestFit="1" customWidth="1"/>
    <col min="5137" max="5137" width="13" style="13" bestFit="1" customWidth="1"/>
    <col min="5138" max="5138" width="20.109375" style="13" bestFit="1" customWidth="1"/>
    <col min="5139" max="5139" width="50.33203125" style="13" bestFit="1" customWidth="1"/>
    <col min="5140" max="5140" width="16.109375" style="13" bestFit="1" customWidth="1"/>
    <col min="5141" max="5141" width="12.33203125" style="13" customWidth="1"/>
    <col min="5142" max="5142" width="18.88671875" style="13" bestFit="1" customWidth="1"/>
    <col min="5143" max="5143" width="16.6640625" style="13" customWidth="1"/>
    <col min="5144" max="5144" width="19" style="13" bestFit="1" customWidth="1"/>
    <col min="5145" max="5145" width="9.109375" style="13"/>
    <col min="5146" max="5146" width="18.88671875" style="13" bestFit="1" customWidth="1"/>
    <col min="5147" max="5376" width="9.109375" style="13"/>
    <col min="5377" max="5377" width="10.5546875" style="13" bestFit="1" customWidth="1"/>
    <col min="5378" max="5378" width="44.109375" style="13" customWidth="1"/>
    <col min="5379" max="5379" width="14.6640625" style="13" customWidth="1"/>
    <col min="5380" max="5380" width="23.6640625" style="13" bestFit="1" customWidth="1"/>
    <col min="5381" max="5381" width="11.88671875" style="13" customWidth="1"/>
    <col min="5382" max="5382" width="20.6640625" style="13" customWidth="1"/>
    <col min="5383" max="5383" width="15.6640625" style="13" customWidth="1"/>
    <col min="5384" max="5385" width="16.109375" style="13" bestFit="1" customWidth="1"/>
    <col min="5386" max="5386" width="13.6640625" style="13" customWidth="1"/>
    <col min="5387" max="5387" width="12.6640625" style="13" bestFit="1" customWidth="1"/>
    <col min="5388" max="5388" width="15.5546875" style="13" customWidth="1"/>
    <col min="5389" max="5389" width="16.109375" style="13" bestFit="1" customWidth="1"/>
    <col min="5390" max="5390" width="13.33203125" style="13" bestFit="1" customWidth="1"/>
    <col min="5391" max="5391" width="16.33203125" style="13" bestFit="1" customWidth="1"/>
    <col min="5392" max="5392" width="9.33203125" style="13" bestFit="1" customWidth="1"/>
    <col min="5393" max="5393" width="13" style="13" bestFit="1" customWidth="1"/>
    <col min="5394" max="5394" width="20.109375" style="13" bestFit="1" customWidth="1"/>
    <col min="5395" max="5395" width="50.33203125" style="13" bestFit="1" customWidth="1"/>
    <col min="5396" max="5396" width="16.109375" style="13" bestFit="1" customWidth="1"/>
    <col min="5397" max="5397" width="12.33203125" style="13" customWidth="1"/>
    <col min="5398" max="5398" width="18.88671875" style="13" bestFit="1" customWidth="1"/>
    <col min="5399" max="5399" width="16.6640625" style="13" customWidth="1"/>
    <col min="5400" max="5400" width="19" style="13" bestFit="1" customWidth="1"/>
    <col min="5401" max="5401" width="9.109375" style="13"/>
    <col min="5402" max="5402" width="18.88671875" style="13" bestFit="1" customWidth="1"/>
    <col min="5403" max="5632" width="9.109375" style="13"/>
    <col min="5633" max="5633" width="10.5546875" style="13" bestFit="1" customWidth="1"/>
    <col min="5634" max="5634" width="44.109375" style="13" customWidth="1"/>
    <col min="5635" max="5635" width="14.6640625" style="13" customWidth="1"/>
    <col min="5636" max="5636" width="23.6640625" style="13" bestFit="1" customWidth="1"/>
    <col min="5637" max="5637" width="11.88671875" style="13" customWidth="1"/>
    <col min="5638" max="5638" width="20.6640625" style="13" customWidth="1"/>
    <col min="5639" max="5639" width="15.6640625" style="13" customWidth="1"/>
    <col min="5640" max="5641" width="16.109375" style="13" bestFit="1" customWidth="1"/>
    <col min="5642" max="5642" width="13.6640625" style="13" customWidth="1"/>
    <col min="5643" max="5643" width="12.6640625" style="13" bestFit="1" customWidth="1"/>
    <col min="5644" max="5644" width="15.5546875" style="13" customWidth="1"/>
    <col min="5645" max="5645" width="16.109375" style="13" bestFit="1" customWidth="1"/>
    <col min="5646" max="5646" width="13.33203125" style="13" bestFit="1" customWidth="1"/>
    <col min="5647" max="5647" width="16.33203125" style="13" bestFit="1" customWidth="1"/>
    <col min="5648" max="5648" width="9.33203125" style="13" bestFit="1" customWidth="1"/>
    <col min="5649" max="5649" width="13" style="13" bestFit="1" customWidth="1"/>
    <col min="5650" max="5650" width="20.109375" style="13" bestFit="1" customWidth="1"/>
    <col min="5651" max="5651" width="50.33203125" style="13" bestFit="1" customWidth="1"/>
    <col min="5652" max="5652" width="16.109375" style="13" bestFit="1" customWidth="1"/>
    <col min="5653" max="5653" width="12.33203125" style="13" customWidth="1"/>
    <col min="5654" max="5654" width="18.88671875" style="13" bestFit="1" customWidth="1"/>
    <col min="5655" max="5655" width="16.6640625" style="13" customWidth="1"/>
    <col min="5656" max="5656" width="19" style="13" bestFit="1" customWidth="1"/>
    <col min="5657" max="5657" width="9.109375" style="13"/>
    <col min="5658" max="5658" width="18.88671875" style="13" bestFit="1" customWidth="1"/>
    <col min="5659" max="5888" width="9.109375" style="13"/>
    <col min="5889" max="5889" width="10.5546875" style="13" bestFit="1" customWidth="1"/>
    <col min="5890" max="5890" width="44.109375" style="13" customWidth="1"/>
    <col min="5891" max="5891" width="14.6640625" style="13" customWidth="1"/>
    <col min="5892" max="5892" width="23.6640625" style="13" bestFit="1" customWidth="1"/>
    <col min="5893" max="5893" width="11.88671875" style="13" customWidth="1"/>
    <col min="5894" max="5894" width="20.6640625" style="13" customWidth="1"/>
    <col min="5895" max="5895" width="15.6640625" style="13" customWidth="1"/>
    <col min="5896" max="5897" width="16.109375" style="13" bestFit="1" customWidth="1"/>
    <col min="5898" max="5898" width="13.6640625" style="13" customWidth="1"/>
    <col min="5899" max="5899" width="12.6640625" style="13" bestFit="1" customWidth="1"/>
    <col min="5900" max="5900" width="15.5546875" style="13" customWidth="1"/>
    <col min="5901" max="5901" width="16.109375" style="13" bestFit="1" customWidth="1"/>
    <col min="5902" max="5902" width="13.33203125" style="13" bestFit="1" customWidth="1"/>
    <col min="5903" max="5903" width="16.33203125" style="13" bestFit="1" customWidth="1"/>
    <col min="5904" max="5904" width="9.33203125" style="13" bestFit="1" customWidth="1"/>
    <col min="5905" max="5905" width="13" style="13" bestFit="1" customWidth="1"/>
    <col min="5906" max="5906" width="20.109375" style="13" bestFit="1" customWidth="1"/>
    <col min="5907" max="5907" width="50.33203125" style="13" bestFit="1" customWidth="1"/>
    <col min="5908" max="5908" width="16.109375" style="13" bestFit="1" customWidth="1"/>
    <col min="5909" max="5909" width="12.33203125" style="13" customWidth="1"/>
    <col min="5910" max="5910" width="18.88671875" style="13" bestFit="1" customWidth="1"/>
    <col min="5911" max="5911" width="16.6640625" style="13" customWidth="1"/>
    <col min="5912" max="5912" width="19" style="13" bestFit="1" customWidth="1"/>
    <col min="5913" max="5913" width="9.109375" style="13"/>
    <col min="5914" max="5914" width="18.88671875" style="13" bestFit="1" customWidth="1"/>
    <col min="5915" max="6144" width="9.109375" style="13"/>
    <col min="6145" max="6145" width="10.5546875" style="13" bestFit="1" customWidth="1"/>
    <col min="6146" max="6146" width="44.109375" style="13" customWidth="1"/>
    <col min="6147" max="6147" width="14.6640625" style="13" customWidth="1"/>
    <col min="6148" max="6148" width="23.6640625" style="13" bestFit="1" customWidth="1"/>
    <col min="6149" max="6149" width="11.88671875" style="13" customWidth="1"/>
    <col min="6150" max="6150" width="20.6640625" style="13" customWidth="1"/>
    <col min="6151" max="6151" width="15.6640625" style="13" customWidth="1"/>
    <col min="6152" max="6153" width="16.109375" style="13" bestFit="1" customWidth="1"/>
    <col min="6154" max="6154" width="13.6640625" style="13" customWidth="1"/>
    <col min="6155" max="6155" width="12.6640625" style="13" bestFit="1" customWidth="1"/>
    <col min="6156" max="6156" width="15.5546875" style="13" customWidth="1"/>
    <col min="6157" max="6157" width="16.109375" style="13" bestFit="1" customWidth="1"/>
    <col min="6158" max="6158" width="13.33203125" style="13" bestFit="1" customWidth="1"/>
    <col min="6159" max="6159" width="16.33203125" style="13" bestFit="1" customWidth="1"/>
    <col min="6160" max="6160" width="9.33203125" style="13" bestFit="1" customWidth="1"/>
    <col min="6161" max="6161" width="13" style="13" bestFit="1" customWidth="1"/>
    <col min="6162" max="6162" width="20.109375" style="13" bestFit="1" customWidth="1"/>
    <col min="6163" max="6163" width="50.33203125" style="13" bestFit="1" customWidth="1"/>
    <col min="6164" max="6164" width="16.109375" style="13" bestFit="1" customWidth="1"/>
    <col min="6165" max="6165" width="12.33203125" style="13" customWidth="1"/>
    <col min="6166" max="6166" width="18.88671875" style="13" bestFit="1" customWidth="1"/>
    <col min="6167" max="6167" width="16.6640625" style="13" customWidth="1"/>
    <col min="6168" max="6168" width="19" style="13" bestFit="1" customWidth="1"/>
    <col min="6169" max="6169" width="9.109375" style="13"/>
    <col min="6170" max="6170" width="18.88671875" style="13" bestFit="1" customWidth="1"/>
    <col min="6171" max="6400" width="9.109375" style="13"/>
    <col min="6401" max="6401" width="10.5546875" style="13" bestFit="1" customWidth="1"/>
    <col min="6402" max="6402" width="44.109375" style="13" customWidth="1"/>
    <col min="6403" max="6403" width="14.6640625" style="13" customWidth="1"/>
    <col min="6404" max="6404" width="23.6640625" style="13" bestFit="1" customWidth="1"/>
    <col min="6405" max="6405" width="11.88671875" style="13" customWidth="1"/>
    <col min="6406" max="6406" width="20.6640625" style="13" customWidth="1"/>
    <col min="6407" max="6407" width="15.6640625" style="13" customWidth="1"/>
    <col min="6408" max="6409" width="16.109375" style="13" bestFit="1" customWidth="1"/>
    <col min="6410" max="6410" width="13.6640625" style="13" customWidth="1"/>
    <col min="6411" max="6411" width="12.6640625" style="13" bestFit="1" customWidth="1"/>
    <col min="6412" max="6412" width="15.5546875" style="13" customWidth="1"/>
    <col min="6413" max="6413" width="16.109375" style="13" bestFit="1" customWidth="1"/>
    <col min="6414" max="6414" width="13.33203125" style="13" bestFit="1" customWidth="1"/>
    <col min="6415" max="6415" width="16.33203125" style="13" bestFit="1" customWidth="1"/>
    <col min="6416" max="6416" width="9.33203125" style="13" bestFit="1" customWidth="1"/>
    <col min="6417" max="6417" width="13" style="13" bestFit="1" customWidth="1"/>
    <col min="6418" max="6418" width="20.109375" style="13" bestFit="1" customWidth="1"/>
    <col min="6419" max="6419" width="50.33203125" style="13" bestFit="1" customWidth="1"/>
    <col min="6420" max="6420" width="16.109375" style="13" bestFit="1" customWidth="1"/>
    <col min="6421" max="6421" width="12.33203125" style="13" customWidth="1"/>
    <col min="6422" max="6422" width="18.88671875" style="13" bestFit="1" customWidth="1"/>
    <col min="6423" max="6423" width="16.6640625" style="13" customWidth="1"/>
    <col min="6424" max="6424" width="19" style="13" bestFit="1" customWidth="1"/>
    <col min="6425" max="6425" width="9.109375" style="13"/>
    <col min="6426" max="6426" width="18.88671875" style="13" bestFit="1" customWidth="1"/>
    <col min="6427" max="6656" width="9.109375" style="13"/>
    <col min="6657" max="6657" width="10.5546875" style="13" bestFit="1" customWidth="1"/>
    <col min="6658" max="6658" width="44.109375" style="13" customWidth="1"/>
    <col min="6659" max="6659" width="14.6640625" style="13" customWidth="1"/>
    <col min="6660" max="6660" width="23.6640625" style="13" bestFit="1" customWidth="1"/>
    <col min="6661" max="6661" width="11.88671875" style="13" customWidth="1"/>
    <col min="6662" max="6662" width="20.6640625" style="13" customWidth="1"/>
    <col min="6663" max="6663" width="15.6640625" style="13" customWidth="1"/>
    <col min="6664" max="6665" width="16.109375" style="13" bestFit="1" customWidth="1"/>
    <col min="6666" max="6666" width="13.6640625" style="13" customWidth="1"/>
    <col min="6667" max="6667" width="12.6640625" style="13" bestFit="1" customWidth="1"/>
    <col min="6668" max="6668" width="15.5546875" style="13" customWidth="1"/>
    <col min="6669" max="6669" width="16.109375" style="13" bestFit="1" customWidth="1"/>
    <col min="6670" max="6670" width="13.33203125" style="13" bestFit="1" customWidth="1"/>
    <col min="6671" max="6671" width="16.33203125" style="13" bestFit="1" customWidth="1"/>
    <col min="6672" max="6672" width="9.33203125" style="13" bestFit="1" customWidth="1"/>
    <col min="6673" max="6673" width="13" style="13" bestFit="1" customWidth="1"/>
    <col min="6674" max="6674" width="20.109375" style="13" bestFit="1" customWidth="1"/>
    <col min="6675" max="6675" width="50.33203125" style="13" bestFit="1" customWidth="1"/>
    <col min="6676" max="6676" width="16.109375" style="13" bestFit="1" customWidth="1"/>
    <col min="6677" max="6677" width="12.33203125" style="13" customWidth="1"/>
    <col min="6678" max="6678" width="18.88671875" style="13" bestFit="1" customWidth="1"/>
    <col min="6679" max="6679" width="16.6640625" style="13" customWidth="1"/>
    <col min="6680" max="6680" width="19" style="13" bestFit="1" customWidth="1"/>
    <col min="6681" max="6681" width="9.109375" style="13"/>
    <col min="6682" max="6682" width="18.88671875" style="13" bestFit="1" customWidth="1"/>
    <col min="6683" max="6912" width="9.109375" style="13"/>
    <col min="6913" max="6913" width="10.5546875" style="13" bestFit="1" customWidth="1"/>
    <col min="6914" max="6914" width="44.109375" style="13" customWidth="1"/>
    <col min="6915" max="6915" width="14.6640625" style="13" customWidth="1"/>
    <col min="6916" max="6916" width="23.6640625" style="13" bestFit="1" customWidth="1"/>
    <col min="6917" max="6917" width="11.88671875" style="13" customWidth="1"/>
    <col min="6918" max="6918" width="20.6640625" style="13" customWidth="1"/>
    <col min="6919" max="6919" width="15.6640625" style="13" customWidth="1"/>
    <col min="6920" max="6921" width="16.109375" style="13" bestFit="1" customWidth="1"/>
    <col min="6922" max="6922" width="13.6640625" style="13" customWidth="1"/>
    <col min="6923" max="6923" width="12.6640625" style="13" bestFit="1" customWidth="1"/>
    <col min="6924" max="6924" width="15.5546875" style="13" customWidth="1"/>
    <col min="6925" max="6925" width="16.109375" style="13" bestFit="1" customWidth="1"/>
    <col min="6926" max="6926" width="13.33203125" style="13" bestFit="1" customWidth="1"/>
    <col min="6927" max="6927" width="16.33203125" style="13" bestFit="1" customWidth="1"/>
    <col min="6928" max="6928" width="9.33203125" style="13" bestFit="1" customWidth="1"/>
    <col min="6929" max="6929" width="13" style="13" bestFit="1" customWidth="1"/>
    <col min="6930" max="6930" width="20.109375" style="13" bestFit="1" customWidth="1"/>
    <col min="6931" max="6931" width="50.33203125" style="13" bestFit="1" customWidth="1"/>
    <col min="6932" max="6932" width="16.109375" style="13" bestFit="1" customWidth="1"/>
    <col min="6933" max="6933" width="12.33203125" style="13" customWidth="1"/>
    <col min="6934" max="6934" width="18.88671875" style="13" bestFit="1" customWidth="1"/>
    <col min="6935" max="6935" width="16.6640625" style="13" customWidth="1"/>
    <col min="6936" max="6936" width="19" style="13" bestFit="1" customWidth="1"/>
    <col min="6937" max="6937" width="9.109375" style="13"/>
    <col min="6938" max="6938" width="18.88671875" style="13" bestFit="1" customWidth="1"/>
    <col min="6939" max="7168" width="9.109375" style="13"/>
    <col min="7169" max="7169" width="10.5546875" style="13" bestFit="1" customWidth="1"/>
    <col min="7170" max="7170" width="44.109375" style="13" customWidth="1"/>
    <col min="7171" max="7171" width="14.6640625" style="13" customWidth="1"/>
    <col min="7172" max="7172" width="23.6640625" style="13" bestFit="1" customWidth="1"/>
    <col min="7173" max="7173" width="11.88671875" style="13" customWidth="1"/>
    <col min="7174" max="7174" width="20.6640625" style="13" customWidth="1"/>
    <col min="7175" max="7175" width="15.6640625" style="13" customWidth="1"/>
    <col min="7176" max="7177" width="16.109375" style="13" bestFit="1" customWidth="1"/>
    <col min="7178" max="7178" width="13.6640625" style="13" customWidth="1"/>
    <col min="7179" max="7179" width="12.6640625" style="13" bestFit="1" customWidth="1"/>
    <col min="7180" max="7180" width="15.5546875" style="13" customWidth="1"/>
    <col min="7181" max="7181" width="16.109375" style="13" bestFit="1" customWidth="1"/>
    <col min="7182" max="7182" width="13.33203125" style="13" bestFit="1" customWidth="1"/>
    <col min="7183" max="7183" width="16.33203125" style="13" bestFit="1" customWidth="1"/>
    <col min="7184" max="7184" width="9.33203125" style="13" bestFit="1" customWidth="1"/>
    <col min="7185" max="7185" width="13" style="13" bestFit="1" customWidth="1"/>
    <col min="7186" max="7186" width="20.109375" style="13" bestFit="1" customWidth="1"/>
    <col min="7187" max="7187" width="50.33203125" style="13" bestFit="1" customWidth="1"/>
    <col min="7188" max="7188" width="16.109375" style="13" bestFit="1" customWidth="1"/>
    <col min="7189" max="7189" width="12.33203125" style="13" customWidth="1"/>
    <col min="7190" max="7190" width="18.88671875" style="13" bestFit="1" customWidth="1"/>
    <col min="7191" max="7191" width="16.6640625" style="13" customWidth="1"/>
    <col min="7192" max="7192" width="19" style="13" bestFit="1" customWidth="1"/>
    <col min="7193" max="7193" width="9.109375" style="13"/>
    <col min="7194" max="7194" width="18.88671875" style="13" bestFit="1" customWidth="1"/>
    <col min="7195" max="7424" width="9.109375" style="13"/>
    <col min="7425" max="7425" width="10.5546875" style="13" bestFit="1" customWidth="1"/>
    <col min="7426" max="7426" width="44.109375" style="13" customWidth="1"/>
    <col min="7427" max="7427" width="14.6640625" style="13" customWidth="1"/>
    <col min="7428" max="7428" width="23.6640625" style="13" bestFit="1" customWidth="1"/>
    <col min="7429" max="7429" width="11.88671875" style="13" customWidth="1"/>
    <col min="7430" max="7430" width="20.6640625" style="13" customWidth="1"/>
    <col min="7431" max="7431" width="15.6640625" style="13" customWidth="1"/>
    <col min="7432" max="7433" width="16.109375" style="13" bestFit="1" customWidth="1"/>
    <col min="7434" max="7434" width="13.6640625" style="13" customWidth="1"/>
    <col min="7435" max="7435" width="12.6640625" style="13" bestFit="1" customWidth="1"/>
    <col min="7436" max="7436" width="15.5546875" style="13" customWidth="1"/>
    <col min="7437" max="7437" width="16.109375" style="13" bestFit="1" customWidth="1"/>
    <col min="7438" max="7438" width="13.33203125" style="13" bestFit="1" customWidth="1"/>
    <col min="7439" max="7439" width="16.33203125" style="13" bestFit="1" customWidth="1"/>
    <col min="7440" max="7440" width="9.33203125" style="13" bestFit="1" customWidth="1"/>
    <col min="7441" max="7441" width="13" style="13" bestFit="1" customWidth="1"/>
    <col min="7442" max="7442" width="20.109375" style="13" bestFit="1" customWidth="1"/>
    <col min="7443" max="7443" width="50.33203125" style="13" bestFit="1" customWidth="1"/>
    <col min="7444" max="7444" width="16.109375" style="13" bestFit="1" customWidth="1"/>
    <col min="7445" max="7445" width="12.33203125" style="13" customWidth="1"/>
    <col min="7446" max="7446" width="18.88671875" style="13" bestFit="1" customWidth="1"/>
    <col min="7447" max="7447" width="16.6640625" style="13" customWidth="1"/>
    <col min="7448" max="7448" width="19" style="13" bestFit="1" customWidth="1"/>
    <col min="7449" max="7449" width="9.109375" style="13"/>
    <col min="7450" max="7450" width="18.88671875" style="13" bestFit="1" customWidth="1"/>
    <col min="7451" max="7680" width="9.109375" style="13"/>
    <col min="7681" max="7681" width="10.5546875" style="13" bestFit="1" customWidth="1"/>
    <col min="7682" max="7682" width="44.109375" style="13" customWidth="1"/>
    <col min="7683" max="7683" width="14.6640625" style="13" customWidth="1"/>
    <col min="7684" max="7684" width="23.6640625" style="13" bestFit="1" customWidth="1"/>
    <col min="7685" max="7685" width="11.88671875" style="13" customWidth="1"/>
    <col min="7686" max="7686" width="20.6640625" style="13" customWidth="1"/>
    <col min="7687" max="7687" width="15.6640625" style="13" customWidth="1"/>
    <col min="7688" max="7689" width="16.109375" style="13" bestFit="1" customWidth="1"/>
    <col min="7690" max="7690" width="13.6640625" style="13" customWidth="1"/>
    <col min="7691" max="7691" width="12.6640625" style="13" bestFit="1" customWidth="1"/>
    <col min="7692" max="7692" width="15.5546875" style="13" customWidth="1"/>
    <col min="7693" max="7693" width="16.109375" style="13" bestFit="1" customWidth="1"/>
    <col min="7694" max="7694" width="13.33203125" style="13" bestFit="1" customWidth="1"/>
    <col min="7695" max="7695" width="16.33203125" style="13" bestFit="1" customWidth="1"/>
    <col min="7696" max="7696" width="9.33203125" style="13" bestFit="1" customWidth="1"/>
    <col min="7697" max="7697" width="13" style="13" bestFit="1" customWidth="1"/>
    <col min="7698" max="7698" width="20.109375" style="13" bestFit="1" customWidth="1"/>
    <col min="7699" max="7699" width="50.33203125" style="13" bestFit="1" customWidth="1"/>
    <col min="7700" max="7700" width="16.109375" style="13" bestFit="1" customWidth="1"/>
    <col min="7701" max="7701" width="12.33203125" style="13" customWidth="1"/>
    <col min="7702" max="7702" width="18.88671875" style="13" bestFit="1" customWidth="1"/>
    <col min="7703" max="7703" width="16.6640625" style="13" customWidth="1"/>
    <col min="7704" max="7704" width="19" style="13" bestFit="1" customWidth="1"/>
    <col min="7705" max="7705" width="9.109375" style="13"/>
    <col min="7706" max="7706" width="18.88671875" style="13" bestFit="1" customWidth="1"/>
    <col min="7707" max="7936" width="9.109375" style="13"/>
    <col min="7937" max="7937" width="10.5546875" style="13" bestFit="1" customWidth="1"/>
    <col min="7938" max="7938" width="44.109375" style="13" customWidth="1"/>
    <col min="7939" max="7939" width="14.6640625" style="13" customWidth="1"/>
    <col min="7940" max="7940" width="23.6640625" style="13" bestFit="1" customWidth="1"/>
    <col min="7941" max="7941" width="11.88671875" style="13" customWidth="1"/>
    <col min="7942" max="7942" width="20.6640625" style="13" customWidth="1"/>
    <col min="7943" max="7943" width="15.6640625" style="13" customWidth="1"/>
    <col min="7944" max="7945" width="16.109375" style="13" bestFit="1" customWidth="1"/>
    <col min="7946" max="7946" width="13.6640625" style="13" customWidth="1"/>
    <col min="7947" max="7947" width="12.6640625" style="13" bestFit="1" customWidth="1"/>
    <col min="7948" max="7948" width="15.5546875" style="13" customWidth="1"/>
    <col min="7949" max="7949" width="16.109375" style="13" bestFit="1" customWidth="1"/>
    <col min="7950" max="7950" width="13.33203125" style="13" bestFit="1" customWidth="1"/>
    <col min="7951" max="7951" width="16.33203125" style="13" bestFit="1" customWidth="1"/>
    <col min="7952" max="7952" width="9.33203125" style="13" bestFit="1" customWidth="1"/>
    <col min="7953" max="7953" width="13" style="13" bestFit="1" customWidth="1"/>
    <col min="7954" max="7954" width="20.109375" style="13" bestFit="1" customWidth="1"/>
    <col min="7955" max="7955" width="50.33203125" style="13" bestFit="1" customWidth="1"/>
    <col min="7956" max="7956" width="16.109375" style="13" bestFit="1" customWidth="1"/>
    <col min="7957" max="7957" width="12.33203125" style="13" customWidth="1"/>
    <col min="7958" max="7958" width="18.88671875" style="13" bestFit="1" customWidth="1"/>
    <col min="7959" max="7959" width="16.6640625" style="13" customWidth="1"/>
    <col min="7960" max="7960" width="19" style="13" bestFit="1" customWidth="1"/>
    <col min="7961" max="7961" width="9.109375" style="13"/>
    <col min="7962" max="7962" width="18.88671875" style="13" bestFit="1" customWidth="1"/>
    <col min="7963" max="8192" width="9.109375" style="13"/>
    <col min="8193" max="8193" width="10.5546875" style="13" bestFit="1" customWidth="1"/>
    <col min="8194" max="8194" width="44.109375" style="13" customWidth="1"/>
    <col min="8195" max="8195" width="14.6640625" style="13" customWidth="1"/>
    <col min="8196" max="8196" width="23.6640625" style="13" bestFit="1" customWidth="1"/>
    <col min="8197" max="8197" width="11.88671875" style="13" customWidth="1"/>
    <col min="8198" max="8198" width="20.6640625" style="13" customWidth="1"/>
    <col min="8199" max="8199" width="15.6640625" style="13" customWidth="1"/>
    <col min="8200" max="8201" width="16.109375" style="13" bestFit="1" customWidth="1"/>
    <col min="8202" max="8202" width="13.6640625" style="13" customWidth="1"/>
    <col min="8203" max="8203" width="12.6640625" style="13" bestFit="1" customWidth="1"/>
    <col min="8204" max="8204" width="15.5546875" style="13" customWidth="1"/>
    <col min="8205" max="8205" width="16.109375" style="13" bestFit="1" customWidth="1"/>
    <col min="8206" max="8206" width="13.33203125" style="13" bestFit="1" customWidth="1"/>
    <col min="8207" max="8207" width="16.33203125" style="13" bestFit="1" customWidth="1"/>
    <col min="8208" max="8208" width="9.33203125" style="13" bestFit="1" customWidth="1"/>
    <col min="8209" max="8209" width="13" style="13" bestFit="1" customWidth="1"/>
    <col min="8210" max="8210" width="20.109375" style="13" bestFit="1" customWidth="1"/>
    <col min="8211" max="8211" width="50.33203125" style="13" bestFit="1" customWidth="1"/>
    <col min="8212" max="8212" width="16.109375" style="13" bestFit="1" customWidth="1"/>
    <col min="8213" max="8213" width="12.33203125" style="13" customWidth="1"/>
    <col min="8214" max="8214" width="18.88671875" style="13" bestFit="1" customWidth="1"/>
    <col min="8215" max="8215" width="16.6640625" style="13" customWidth="1"/>
    <col min="8216" max="8216" width="19" style="13" bestFit="1" customWidth="1"/>
    <col min="8217" max="8217" width="9.109375" style="13"/>
    <col min="8218" max="8218" width="18.88671875" style="13" bestFit="1" customWidth="1"/>
    <col min="8219" max="8448" width="9.109375" style="13"/>
    <col min="8449" max="8449" width="10.5546875" style="13" bestFit="1" customWidth="1"/>
    <col min="8450" max="8450" width="44.109375" style="13" customWidth="1"/>
    <col min="8451" max="8451" width="14.6640625" style="13" customWidth="1"/>
    <col min="8452" max="8452" width="23.6640625" style="13" bestFit="1" customWidth="1"/>
    <col min="8453" max="8453" width="11.88671875" style="13" customWidth="1"/>
    <col min="8454" max="8454" width="20.6640625" style="13" customWidth="1"/>
    <col min="8455" max="8455" width="15.6640625" style="13" customWidth="1"/>
    <col min="8456" max="8457" width="16.109375" style="13" bestFit="1" customWidth="1"/>
    <col min="8458" max="8458" width="13.6640625" style="13" customWidth="1"/>
    <col min="8459" max="8459" width="12.6640625" style="13" bestFit="1" customWidth="1"/>
    <col min="8460" max="8460" width="15.5546875" style="13" customWidth="1"/>
    <col min="8461" max="8461" width="16.109375" style="13" bestFit="1" customWidth="1"/>
    <col min="8462" max="8462" width="13.33203125" style="13" bestFit="1" customWidth="1"/>
    <col min="8463" max="8463" width="16.33203125" style="13" bestFit="1" customWidth="1"/>
    <col min="8464" max="8464" width="9.33203125" style="13" bestFit="1" customWidth="1"/>
    <col min="8465" max="8465" width="13" style="13" bestFit="1" customWidth="1"/>
    <col min="8466" max="8466" width="20.109375" style="13" bestFit="1" customWidth="1"/>
    <col min="8467" max="8467" width="50.33203125" style="13" bestFit="1" customWidth="1"/>
    <col min="8468" max="8468" width="16.109375" style="13" bestFit="1" customWidth="1"/>
    <col min="8469" max="8469" width="12.33203125" style="13" customWidth="1"/>
    <col min="8470" max="8470" width="18.88671875" style="13" bestFit="1" customWidth="1"/>
    <col min="8471" max="8471" width="16.6640625" style="13" customWidth="1"/>
    <col min="8472" max="8472" width="19" style="13" bestFit="1" customWidth="1"/>
    <col min="8473" max="8473" width="9.109375" style="13"/>
    <col min="8474" max="8474" width="18.88671875" style="13" bestFit="1" customWidth="1"/>
    <col min="8475" max="8704" width="9.109375" style="13"/>
    <col min="8705" max="8705" width="10.5546875" style="13" bestFit="1" customWidth="1"/>
    <col min="8706" max="8706" width="44.109375" style="13" customWidth="1"/>
    <col min="8707" max="8707" width="14.6640625" style="13" customWidth="1"/>
    <col min="8708" max="8708" width="23.6640625" style="13" bestFit="1" customWidth="1"/>
    <col min="8709" max="8709" width="11.88671875" style="13" customWidth="1"/>
    <col min="8710" max="8710" width="20.6640625" style="13" customWidth="1"/>
    <col min="8711" max="8711" width="15.6640625" style="13" customWidth="1"/>
    <col min="8712" max="8713" width="16.109375" style="13" bestFit="1" customWidth="1"/>
    <col min="8714" max="8714" width="13.6640625" style="13" customWidth="1"/>
    <col min="8715" max="8715" width="12.6640625" style="13" bestFit="1" customWidth="1"/>
    <col min="8716" max="8716" width="15.5546875" style="13" customWidth="1"/>
    <col min="8717" max="8717" width="16.109375" style="13" bestFit="1" customWidth="1"/>
    <col min="8718" max="8718" width="13.33203125" style="13" bestFit="1" customWidth="1"/>
    <col min="8719" max="8719" width="16.33203125" style="13" bestFit="1" customWidth="1"/>
    <col min="8720" max="8720" width="9.33203125" style="13" bestFit="1" customWidth="1"/>
    <col min="8721" max="8721" width="13" style="13" bestFit="1" customWidth="1"/>
    <col min="8722" max="8722" width="20.109375" style="13" bestFit="1" customWidth="1"/>
    <col min="8723" max="8723" width="50.33203125" style="13" bestFit="1" customWidth="1"/>
    <col min="8724" max="8724" width="16.109375" style="13" bestFit="1" customWidth="1"/>
    <col min="8725" max="8725" width="12.33203125" style="13" customWidth="1"/>
    <col min="8726" max="8726" width="18.88671875" style="13" bestFit="1" customWidth="1"/>
    <col min="8727" max="8727" width="16.6640625" style="13" customWidth="1"/>
    <col min="8728" max="8728" width="19" style="13" bestFit="1" customWidth="1"/>
    <col min="8729" max="8729" width="9.109375" style="13"/>
    <col min="8730" max="8730" width="18.88671875" style="13" bestFit="1" customWidth="1"/>
    <col min="8731" max="8960" width="9.109375" style="13"/>
    <col min="8961" max="8961" width="10.5546875" style="13" bestFit="1" customWidth="1"/>
    <col min="8962" max="8962" width="44.109375" style="13" customWidth="1"/>
    <col min="8963" max="8963" width="14.6640625" style="13" customWidth="1"/>
    <col min="8964" max="8964" width="23.6640625" style="13" bestFit="1" customWidth="1"/>
    <col min="8965" max="8965" width="11.88671875" style="13" customWidth="1"/>
    <col min="8966" max="8966" width="20.6640625" style="13" customWidth="1"/>
    <col min="8967" max="8967" width="15.6640625" style="13" customWidth="1"/>
    <col min="8968" max="8969" width="16.109375" style="13" bestFit="1" customWidth="1"/>
    <col min="8970" max="8970" width="13.6640625" style="13" customWidth="1"/>
    <col min="8971" max="8971" width="12.6640625" style="13" bestFit="1" customWidth="1"/>
    <col min="8972" max="8972" width="15.5546875" style="13" customWidth="1"/>
    <col min="8973" max="8973" width="16.109375" style="13" bestFit="1" customWidth="1"/>
    <col min="8974" max="8974" width="13.33203125" style="13" bestFit="1" customWidth="1"/>
    <col min="8975" max="8975" width="16.33203125" style="13" bestFit="1" customWidth="1"/>
    <col min="8976" max="8976" width="9.33203125" style="13" bestFit="1" customWidth="1"/>
    <col min="8977" max="8977" width="13" style="13" bestFit="1" customWidth="1"/>
    <col min="8978" max="8978" width="20.109375" style="13" bestFit="1" customWidth="1"/>
    <col min="8979" max="8979" width="50.33203125" style="13" bestFit="1" customWidth="1"/>
    <col min="8980" max="8980" width="16.109375" style="13" bestFit="1" customWidth="1"/>
    <col min="8981" max="8981" width="12.33203125" style="13" customWidth="1"/>
    <col min="8982" max="8982" width="18.88671875" style="13" bestFit="1" customWidth="1"/>
    <col min="8983" max="8983" width="16.6640625" style="13" customWidth="1"/>
    <col min="8984" max="8984" width="19" style="13" bestFit="1" customWidth="1"/>
    <col min="8985" max="8985" width="9.109375" style="13"/>
    <col min="8986" max="8986" width="18.88671875" style="13" bestFit="1" customWidth="1"/>
    <col min="8987" max="9216" width="9.109375" style="13"/>
    <col min="9217" max="9217" width="10.5546875" style="13" bestFit="1" customWidth="1"/>
    <col min="9218" max="9218" width="44.109375" style="13" customWidth="1"/>
    <col min="9219" max="9219" width="14.6640625" style="13" customWidth="1"/>
    <col min="9220" max="9220" width="23.6640625" style="13" bestFit="1" customWidth="1"/>
    <col min="9221" max="9221" width="11.88671875" style="13" customWidth="1"/>
    <col min="9222" max="9222" width="20.6640625" style="13" customWidth="1"/>
    <col min="9223" max="9223" width="15.6640625" style="13" customWidth="1"/>
    <col min="9224" max="9225" width="16.109375" style="13" bestFit="1" customWidth="1"/>
    <col min="9226" max="9226" width="13.6640625" style="13" customWidth="1"/>
    <col min="9227" max="9227" width="12.6640625" style="13" bestFit="1" customWidth="1"/>
    <col min="9228" max="9228" width="15.5546875" style="13" customWidth="1"/>
    <col min="9229" max="9229" width="16.109375" style="13" bestFit="1" customWidth="1"/>
    <col min="9230" max="9230" width="13.33203125" style="13" bestFit="1" customWidth="1"/>
    <col min="9231" max="9231" width="16.33203125" style="13" bestFit="1" customWidth="1"/>
    <col min="9232" max="9232" width="9.33203125" style="13" bestFit="1" customWidth="1"/>
    <col min="9233" max="9233" width="13" style="13" bestFit="1" customWidth="1"/>
    <col min="9234" max="9234" width="20.109375" style="13" bestFit="1" customWidth="1"/>
    <col min="9235" max="9235" width="50.33203125" style="13" bestFit="1" customWidth="1"/>
    <col min="9236" max="9236" width="16.109375" style="13" bestFit="1" customWidth="1"/>
    <col min="9237" max="9237" width="12.33203125" style="13" customWidth="1"/>
    <col min="9238" max="9238" width="18.88671875" style="13" bestFit="1" customWidth="1"/>
    <col min="9239" max="9239" width="16.6640625" style="13" customWidth="1"/>
    <col min="9240" max="9240" width="19" style="13" bestFit="1" customWidth="1"/>
    <col min="9241" max="9241" width="9.109375" style="13"/>
    <col min="9242" max="9242" width="18.88671875" style="13" bestFit="1" customWidth="1"/>
    <col min="9243" max="9472" width="9.109375" style="13"/>
    <col min="9473" max="9473" width="10.5546875" style="13" bestFit="1" customWidth="1"/>
    <col min="9474" max="9474" width="44.109375" style="13" customWidth="1"/>
    <col min="9475" max="9475" width="14.6640625" style="13" customWidth="1"/>
    <col min="9476" max="9476" width="23.6640625" style="13" bestFit="1" customWidth="1"/>
    <col min="9477" max="9477" width="11.88671875" style="13" customWidth="1"/>
    <col min="9478" max="9478" width="20.6640625" style="13" customWidth="1"/>
    <col min="9479" max="9479" width="15.6640625" style="13" customWidth="1"/>
    <col min="9480" max="9481" width="16.109375" style="13" bestFit="1" customWidth="1"/>
    <col min="9482" max="9482" width="13.6640625" style="13" customWidth="1"/>
    <col min="9483" max="9483" width="12.6640625" style="13" bestFit="1" customWidth="1"/>
    <col min="9484" max="9484" width="15.5546875" style="13" customWidth="1"/>
    <col min="9485" max="9485" width="16.109375" style="13" bestFit="1" customWidth="1"/>
    <col min="9486" max="9486" width="13.33203125" style="13" bestFit="1" customWidth="1"/>
    <col min="9487" max="9487" width="16.33203125" style="13" bestFit="1" customWidth="1"/>
    <col min="9488" max="9488" width="9.33203125" style="13" bestFit="1" customWidth="1"/>
    <col min="9489" max="9489" width="13" style="13" bestFit="1" customWidth="1"/>
    <col min="9490" max="9490" width="20.109375" style="13" bestFit="1" customWidth="1"/>
    <col min="9491" max="9491" width="50.33203125" style="13" bestFit="1" customWidth="1"/>
    <col min="9492" max="9492" width="16.109375" style="13" bestFit="1" customWidth="1"/>
    <col min="9493" max="9493" width="12.33203125" style="13" customWidth="1"/>
    <col min="9494" max="9494" width="18.88671875" style="13" bestFit="1" customWidth="1"/>
    <col min="9495" max="9495" width="16.6640625" style="13" customWidth="1"/>
    <col min="9496" max="9496" width="19" style="13" bestFit="1" customWidth="1"/>
    <col min="9497" max="9497" width="9.109375" style="13"/>
    <col min="9498" max="9498" width="18.88671875" style="13" bestFit="1" customWidth="1"/>
    <col min="9499" max="9728" width="9.109375" style="13"/>
    <col min="9729" max="9729" width="10.5546875" style="13" bestFit="1" customWidth="1"/>
    <col min="9730" max="9730" width="44.109375" style="13" customWidth="1"/>
    <col min="9731" max="9731" width="14.6640625" style="13" customWidth="1"/>
    <col min="9732" max="9732" width="23.6640625" style="13" bestFit="1" customWidth="1"/>
    <col min="9733" max="9733" width="11.88671875" style="13" customWidth="1"/>
    <col min="9734" max="9734" width="20.6640625" style="13" customWidth="1"/>
    <col min="9735" max="9735" width="15.6640625" style="13" customWidth="1"/>
    <col min="9736" max="9737" width="16.109375" style="13" bestFit="1" customWidth="1"/>
    <col min="9738" max="9738" width="13.6640625" style="13" customWidth="1"/>
    <col min="9739" max="9739" width="12.6640625" style="13" bestFit="1" customWidth="1"/>
    <col min="9740" max="9740" width="15.5546875" style="13" customWidth="1"/>
    <col min="9741" max="9741" width="16.109375" style="13" bestFit="1" customWidth="1"/>
    <col min="9742" max="9742" width="13.33203125" style="13" bestFit="1" customWidth="1"/>
    <col min="9743" max="9743" width="16.33203125" style="13" bestFit="1" customWidth="1"/>
    <col min="9744" max="9744" width="9.33203125" style="13" bestFit="1" customWidth="1"/>
    <col min="9745" max="9745" width="13" style="13" bestFit="1" customWidth="1"/>
    <col min="9746" max="9746" width="20.109375" style="13" bestFit="1" customWidth="1"/>
    <col min="9747" max="9747" width="50.33203125" style="13" bestFit="1" customWidth="1"/>
    <col min="9748" max="9748" width="16.109375" style="13" bestFit="1" customWidth="1"/>
    <col min="9749" max="9749" width="12.33203125" style="13" customWidth="1"/>
    <col min="9750" max="9750" width="18.88671875" style="13" bestFit="1" customWidth="1"/>
    <col min="9751" max="9751" width="16.6640625" style="13" customWidth="1"/>
    <col min="9752" max="9752" width="19" style="13" bestFit="1" customWidth="1"/>
    <col min="9753" max="9753" width="9.109375" style="13"/>
    <col min="9754" max="9754" width="18.88671875" style="13" bestFit="1" customWidth="1"/>
    <col min="9755" max="9984" width="9.109375" style="13"/>
    <col min="9985" max="9985" width="10.5546875" style="13" bestFit="1" customWidth="1"/>
    <col min="9986" max="9986" width="44.109375" style="13" customWidth="1"/>
    <col min="9987" max="9987" width="14.6640625" style="13" customWidth="1"/>
    <col min="9988" max="9988" width="23.6640625" style="13" bestFit="1" customWidth="1"/>
    <col min="9989" max="9989" width="11.88671875" style="13" customWidth="1"/>
    <col min="9990" max="9990" width="20.6640625" style="13" customWidth="1"/>
    <col min="9991" max="9991" width="15.6640625" style="13" customWidth="1"/>
    <col min="9992" max="9993" width="16.109375" style="13" bestFit="1" customWidth="1"/>
    <col min="9994" max="9994" width="13.6640625" style="13" customWidth="1"/>
    <col min="9995" max="9995" width="12.6640625" style="13" bestFit="1" customWidth="1"/>
    <col min="9996" max="9996" width="15.5546875" style="13" customWidth="1"/>
    <col min="9997" max="9997" width="16.109375" style="13" bestFit="1" customWidth="1"/>
    <col min="9998" max="9998" width="13.33203125" style="13" bestFit="1" customWidth="1"/>
    <col min="9999" max="9999" width="16.33203125" style="13" bestFit="1" customWidth="1"/>
    <col min="10000" max="10000" width="9.33203125" style="13" bestFit="1" customWidth="1"/>
    <col min="10001" max="10001" width="13" style="13" bestFit="1" customWidth="1"/>
    <col min="10002" max="10002" width="20.109375" style="13" bestFit="1" customWidth="1"/>
    <col min="10003" max="10003" width="50.33203125" style="13" bestFit="1" customWidth="1"/>
    <col min="10004" max="10004" width="16.109375" style="13" bestFit="1" customWidth="1"/>
    <col min="10005" max="10005" width="12.33203125" style="13" customWidth="1"/>
    <col min="10006" max="10006" width="18.88671875" style="13" bestFit="1" customWidth="1"/>
    <col min="10007" max="10007" width="16.6640625" style="13" customWidth="1"/>
    <col min="10008" max="10008" width="19" style="13" bestFit="1" customWidth="1"/>
    <col min="10009" max="10009" width="9.109375" style="13"/>
    <col min="10010" max="10010" width="18.88671875" style="13" bestFit="1" customWidth="1"/>
    <col min="10011" max="10240" width="9.109375" style="13"/>
    <col min="10241" max="10241" width="10.5546875" style="13" bestFit="1" customWidth="1"/>
    <col min="10242" max="10242" width="44.109375" style="13" customWidth="1"/>
    <col min="10243" max="10243" width="14.6640625" style="13" customWidth="1"/>
    <col min="10244" max="10244" width="23.6640625" style="13" bestFit="1" customWidth="1"/>
    <col min="10245" max="10245" width="11.88671875" style="13" customWidth="1"/>
    <col min="10246" max="10246" width="20.6640625" style="13" customWidth="1"/>
    <col min="10247" max="10247" width="15.6640625" style="13" customWidth="1"/>
    <col min="10248" max="10249" width="16.109375" style="13" bestFit="1" customWidth="1"/>
    <col min="10250" max="10250" width="13.6640625" style="13" customWidth="1"/>
    <col min="10251" max="10251" width="12.6640625" style="13" bestFit="1" customWidth="1"/>
    <col min="10252" max="10252" width="15.5546875" style="13" customWidth="1"/>
    <col min="10253" max="10253" width="16.109375" style="13" bestFit="1" customWidth="1"/>
    <col min="10254" max="10254" width="13.33203125" style="13" bestFit="1" customWidth="1"/>
    <col min="10255" max="10255" width="16.33203125" style="13" bestFit="1" customWidth="1"/>
    <col min="10256" max="10256" width="9.33203125" style="13" bestFit="1" customWidth="1"/>
    <col min="10257" max="10257" width="13" style="13" bestFit="1" customWidth="1"/>
    <col min="10258" max="10258" width="20.109375" style="13" bestFit="1" customWidth="1"/>
    <col min="10259" max="10259" width="50.33203125" style="13" bestFit="1" customWidth="1"/>
    <col min="10260" max="10260" width="16.109375" style="13" bestFit="1" customWidth="1"/>
    <col min="10261" max="10261" width="12.33203125" style="13" customWidth="1"/>
    <col min="10262" max="10262" width="18.88671875" style="13" bestFit="1" customWidth="1"/>
    <col min="10263" max="10263" width="16.6640625" style="13" customWidth="1"/>
    <col min="10264" max="10264" width="19" style="13" bestFit="1" customWidth="1"/>
    <col min="10265" max="10265" width="9.109375" style="13"/>
    <col min="10266" max="10266" width="18.88671875" style="13" bestFit="1" customWidth="1"/>
    <col min="10267" max="10496" width="9.109375" style="13"/>
    <col min="10497" max="10497" width="10.5546875" style="13" bestFit="1" customWidth="1"/>
    <col min="10498" max="10498" width="44.109375" style="13" customWidth="1"/>
    <col min="10499" max="10499" width="14.6640625" style="13" customWidth="1"/>
    <col min="10500" max="10500" width="23.6640625" style="13" bestFit="1" customWidth="1"/>
    <col min="10501" max="10501" width="11.88671875" style="13" customWidth="1"/>
    <col min="10502" max="10502" width="20.6640625" style="13" customWidth="1"/>
    <col min="10503" max="10503" width="15.6640625" style="13" customWidth="1"/>
    <col min="10504" max="10505" width="16.109375" style="13" bestFit="1" customWidth="1"/>
    <col min="10506" max="10506" width="13.6640625" style="13" customWidth="1"/>
    <col min="10507" max="10507" width="12.6640625" style="13" bestFit="1" customWidth="1"/>
    <col min="10508" max="10508" width="15.5546875" style="13" customWidth="1"/>
    <col min="10509" max="10509" width="16.109375" style="13" bestFit="1" customWidth="1"/>
    <col min="10510" max="10510" width="13.33203125" style="13" bestFit="1" customWidth="1"/>
    <col min="10511" max="10511" width="16.33203125" style="13" bestFit="1" customWidth="1"/>
    <col min="10512" max="10512" width="9.33203125" style="13" bestFit="1" customWidth="1"/>
    <col min="10513" max="10513" width="13" style="13" bestFit="1" customWidth="1"/>
    <col min="10514" max="10514" width="20.109375" style="13" bestFit="1" customWidth="1"/>
    <col min="10515" max="10515" width="50.33203125" style="13" bestFit="1" customWidth="1"/>
    <col min="10516" max="10516" width="16.109375" style="13" bestFit="1" customWidth="1"/>
    <col min="10517" max="10517" width="12.33203125" style="13" customWidth="1"/>
    <col min="10518" max="10518" width="18.88671875" style="13" bestFit="1" customWidth="1"/>
    <col min="10519" max="10519" width="16.6640625" style="13" customWidth="1"/>
    <col min="10520" max="10520" width="19" style="13" bestFit="1" customWidth="1"/>
    <col min="10521" max="10521" width="9.109375" style="13"/>
    <col min="10522" max="10522" width="18.88671875" style="13" bestFit="1" customWidth="1"/>
    <col min="10523" max="10752" width="9.109375" style="13"/>
    <col min="10753" max="10753" width="10.5546875" style="13" bestFit="1" customWidth="1"/>
    <col min="10754" max="10754" width="44.109375" style="13" customWidth="1"/>
    <col min="10755" max="10755" width="14.6640625" style="13" customWidth="1"/>
    <col min="10756" max="10756" width="23.6640625" style="13" bestFit="1" customWidth="1"/>
    <col min="10757" max="10757" width="11.88671875" style="13" customWidth="1"/>
    <col min="10758" max="10758" width="20.6640625" style="13" customWidth="1"/>
    <col min="10759" max="10759" width="15.6640625" style="13" customWidth="1"/>
    <col min="10760" max="10761" width="16.109375" style="13" bestFit="1" customWidth="1"/>
    <col min="10762" max="10762" width="13.6640625" style="13" customWidth="1"/>
    <col min="10763" max="10763" width="12.6640625" style="13" bestFit="1" customWidth="1"/>
    <col min="10764" max="10764" width="15.5546875" style="13" customWidth="1"/>
    <col min="10765" max="10765" width="16.109375" style="13" bestFit="1" customWidth="1"/>
    <col min="10766" max="10766" width="13.33203125" style="13" bestFit="1" customWidth="1"/>
    <col min="10767" max="10767" width="16.33203125" style="13" bestFit="1" customWidth="1"/>
    <col min="10768" max="10768" width="9.33203125" style="13" bestFit="1" customWidth="1"/>
    <col min="10769" max="10769" width="13" style="13" bestFit="1" customWidth="1"/>
    <col min="10770" max="10770" width="20.109375" style="13" bestFit="1" customWidth="1"/>
    <col min="10771" max="10771" width="50.33203125" style="13" bestFit="1" customWidth="1"/>
    <col min="10772" max="10772" width="16.109375" style="13" bestFit="1" customWidth="1"/>
    <col min="10773" max="10773" width="12.33203125" style="13" customWidth="1"/>
    <col min="10774" max="10774" width="18.88671875" style="13" bestFit="1" customWidth="1"/>
    <col min="10775" max="10775" width="16.6640625" style="13" customWidth="1"/>
    <col min="10776" max="10776" width="19" style="13" bestFit="1" customWidth="1"/>
    <col min="10777" max="10777" width="9.109375" style="13"/>
    <col min="10778" max="10778" width="18.88671875" style="13" bestFit="1" customWidth="1"/>
    <col min="10779" max="11008" width="9.109375" style="13"/>
    <col min="11009" max="11009" width="10.5546875" style="13" bestFit="1" customWidth="1"/>
    <col min="11010" max="11010" width="44.109375" style="13" customWidth="1"/>
    <col min="11011" max="11011" width="14.6640625" style="13" customWidth="1"/>
    <col min="11012" max="11012" width="23.6640625" style="13" bestFit="1" customWidth="1"/>
    <col min="11013" max="11013" width="11.88671875" style="13" customWidth="1"/>
    <col min="11014" max="11014" width="20.6640625" style="13" customWidth="1"/>
    <col min="11015" max="11015" width="15.6640625" style="13" customWidth="1"/>
    <col min="11016" max="11017" width="16.109375" style="13" bestFit="1" customWidth="1"/>
    <col min="11018" max="11018" width="13.6640625" style="13" customWidth="1"/>
    <col min="11019" max="11019" width="12.6640625" style="13" bestFit="1" customWidth="1"/>
    <col min="11020" max="11020" width="15.5546875" style="13" customWidth="1"/>
    <col min="11021" max="11021" width="16.109375" style="13" bestFit="1" customWidth="1"/>
    <col min="11022" max="11022" width="13.33203125" style="13" bestFit="1" customWidth="1"/>
    <col min="11023" max="11023" width="16.33203125" style="13" bestFit="1" customWidth="1"/>
    <col min="11024" max="11024" width="9.33203125" style="13" bestFit="1" customWidth="1"/>
    <col min="11025" max="11025" width="13" style="13" bestFit="1" customWidth="1"/>
    <col min="11026" max="11026" width="20.109375" style="13" bestFit="1" customWidth="1"/>
    <col min="11027" max="11027" width="50.33203125" style="13" bestFit="1" customWidth="1"/>
    <col min="11028" max="11028" width="16.109375" style="13" bestFit="1" customWidth="1"/>
    <col min="11029" max="11029" width="12.33203125" style="13" customWidth="1"/>
    <col min="11030" max="11030" width="18.88671875" style="13" bestFit="1" customWidth="1"/>
    <col min="11031" max="11031" width="16.6640625" style="13" customWidth="1"/>
    <col min="11032" max="11032" width="19" style="13" bestFit="1" customWidth="1"/>
    <col min="11033" max="11033" width="9.109375" style="13"/>
    <col min="11034" max="11034" width="18.88671875" style="13" bestFit="1" customWidth="1"/>
    <col min="11035" max="11264" width="9.109375" style="13"/>
    <col min="11265" max="11265" width="10.5546875" style="13" bestFit="1" customWidth="1"/>
    <col min="11266" max="11266" width="44.109375" style="13" customWidth="1"/>
    <col min="11267" max="11267" width="14.6640625" style="13" customWidth="1"/>
    <col min="11268" max="11268" width="23.6640625" style="13" bestFit="1" customWidth="1"/>
    <col min="11269" max="11269" width="11.88671875" style="13" customWidth="1"/>
    <col min="11270" max="11270" width="20.6640625" style="13" customWidth="1"/>
    <col min="11271" max="11271" width="15.6640625" style="13" customWidth="1"/>
    <col min="11272" max="11273" width="16.109375" style="13" bestFit="1" customWidth="1"/>
    <col min="11274" max="11274" width="13.6640625" style="13" customWidth="1"/>
    <col min="11275" max="11275" width="12.6640625" style="13" bestFit="1" customWidth="1"/>
    <col min="11276" max="11276" width="15.5546875" style="13" customWidth="1"/>
    <col min="11277" max="11277" width="16.109375" style="13" bestFit="1" customWidth="1"/>
    <col min="11278" max="11278" width="13.33203125" style="13" bestFit="1" customWidth="1"/>
    <col min="11279" max="11279" width="16.33203125" style="13" bestFit="1" customWidth="1"/>
    <col min="11280" max="11280" width="9.33203125" style="13" bestFit="1" customWidth="1"/>
    <col min="11281" max="11281" width="13" style="13" bestFit="1" customWidth="1"/>
    <col min="11282" max="11282" width="20.109375" style="13" bestFit="1" customWidth="1"/>
    <col min="11283" max="11283" width="50.33203125" style="13" bestFit="1" customWidth="1"/>
    <col min="11284" max="11284" width="16.109375" style="13" bestFit="1" customWidth="1"/>
    <col min="11285" max="11285" width="12.33203125" style="13" customWidth="1"/>
    <col min="11286" max="11286" width="18.88671875" style="13" bestFit="1" customWidth="1"/>
    <col min="11287" max="11287" width="16.6640625" style="13" customWidth="1"/>
    <col min="11288" max="11288" width="19" style="13" bestFit="1" customWidth="1"/>
    <col min="11289" max="11289" width="9.109375" style="13"/>
    <col min="11290" max="11290" width="18.88671875" style="13" bestFit="1" customWidth="1"/>
    <col min="11291" max="11520" width="9.109375" style="13"/>
    <col min="11521" max="11521" width="10.5546875" style="13" bestFit="1" customWidth="1"/>
    <col min="11522" max="11522" width="44.109375" style="13" customWidth="1"/>
    <col min="11523" max="11523" width="14.6640625" style="13" customWidth="1"/>
    <col min="11524" max="11524" width="23.6640625" style="13" bestFit="1" customWidth="1"/>
    <col min="11525" max="11525" width="11.88671875" style="13" customWidth="1"/>
    <col min="11526" max="11526" width="20.6640625" style="13" customWidth="1"/>
    <col min="11527" max="11527" width="15.6640625" style="13" customWidth="1"/>
    <col min="11528" max="11529" width="16.109375" style="13" bestFit="1" customWidth="1"/>
    <col min="11530" max="11530" width="13.6640625" style="13" customWidth="1"/>
    <col min="11531" max="11531" width="12.6640625" style="13" bestFit="1" customWidth="1"/>
    <col min="11532" max="11532" width="15.5546875" style="13" customWidth="1"/>
    <col min="11533" max="11533" width="16.109375" style="13" bestFit="1" customWidth="1"/>
    <col min="11534" max="11534" width="13.33203125" style="13" bestFit="1" customWidth="1"/>
    <col min="11535" max="11535" width="16.33203125" style="13" bestFit="1" customWidth="1"/>
    <col min="11536" max="11536" width="9.33203125" style="13" bestFit="1" customWidth="1"/>
    <col min="11537" max="11537" width="13" style="13" bestFit="1" customWidth="1"/>
    <col min="11538" max="11538" width="20.109375" style="13" bestFit="1" customWidth="1"/>
    <col min="11539" max="11539" width="50.33203125" style="13" bestFit="1" customWidth="1"/>
    <col min="11540" max="11540" width="16.109375" style="13" bestFit="1" customWidth="1"/>
    <col min="11541" max="11541" width="12.33203125" style="13" customWidth="1"/>
    <col min="11542" max="11542" width="18.88671875" style="13" bestFit="1" customWidth="1"/>
    <col min="11543" max="11543" width="16.6640625" style="13" customWidth="1"/>
    <col min="11544" max="11544" width="19" style="13" bestFit="1" customWidth="1"/>
    <col min="11545" max="11545" width="9.109375" style="13"/>
    <col min="11546" max="11546" width="18.88671875" style="13" bestFit="1" customWidth="1"/>
    <col min="11547" max="11776" width="9.109375" style="13"/>
    <col min="11777" max="11777" width="10.5546875" style="13" bestFit="1" customWidth="1"/>
    <col min="11778" max="11778" width="44.109375" style="13" customWidth="1"/>
    <col min="11779" max="11779" width="14.6640625" style="13" customWidth="1"/>
    <col min="11780" max="11780" width="23.6640625" style="13" bestFit="1" customWidth="1"/>
    <col min="11781" max="11781" width="11.88671875" style="13" customWidth="1"/>
    <col min="11782" max="11782" width="20.6640625" style="13" customWidth="1"/>
    <col min="11783" max="11783" width="15.6640625" style="13" customWidth="1"/>
    <col min="11784" max="11785" width="16.109375" style="13" bestFit="1" customWidth="1"/>
    <col min="11786" max="11786" width="13.6640625" style="13" customWidth="1"/>
    <col min="11787" max="11787" width="12.6640625" style="13" bestFit="1" customWidth="1"/>
    <col min="11788" max="11788" width="15.5546875" style="13" customWidth="1"/>
    <col min="11789" max="11789" width="16.109375" style="13" bestFit="1" customWidth="1"/>
    <col min="11790" max="11790" width="13.33203125" style="13" bestFit="1" customWidth="1"/>
    <col min="11791" max="11791" width="16.33203125" style="13" bestFit="1" customWidth="1"/>
    <col min="11792" max="11792" width="9.33203125" style="13" bestFit="1" customWidth="1"/>
    <col min="11793" max="11793" width="13" style="13" bestFit="1" customWidth="1"/>
    <col min="11794" max="11794" width="20.109375" style="13" bestFit="1" customWidth="1"/>
    <col min="11795" max="11795" width="50.33203125" style="13" bestFit="1" customWidth="1"/>
    <col min="11796" max="11796" width="16.109375" style="13" bestFit="1" customWidth="1"/>
    <col min="11797" max="11797" width="12.33203125" style="13" customWidth="1"/>
    <col min="11798" max="11798" width="18.88671875" style="13" bestFit="1" customWidth="1"/>
    <col min="11799" max="11799" width="16.6640625" style="13" customWidth="1"/>
    <col min="11800" max="11800" width="19" style="13" bestFit="1" customWidth="1"/>
    <col min="11801" max="11801" width="9.109375" style="13"/>
    <col min="11802" max="11802" width="18.88671875" style="13" bestFit="1" customWidth="1"/>
    <col min="11803" max="12032" width="9.109375" style="13"/>
    <col min="12033" max="12033" width="10.5546875" style="13" bestFit="1" customWidth="1"/>
    <col min="12034" max="12034" width="44.109375" style="13" customWidth="1"/>
    <col min="12035" max="12035" width="14.6640625" style="13" customWidth="1"/>
    <col min="12036" max="12036" width="23.6640625" style="13" bestFit="1" customWidth="1"/>
    <col min="12037" max="12037" width="11.88671875" style="13" customWidth="1"/>
    <col min="12038" max="12038" width="20.6640625" style="13" customWidth="1"/>
    <col min="12039" max="12039" width="15.6640625" style="13" customWidth="1"/>
    <col min="12040" max="12041" width="16.109375" style="13" bestFit="1" customWidth="1"/>
    <col min="12042" max="12042" width="13.6640625" style="13" customWidth="1"/>
    <col min="12043" max="12043" width="12.6640625" style="13" bestFit="1" customWidth="1"/>
    <col min="12044" max="12044" width="15.5546875" style="13" customWidth="1"/>
    <col min="12045" max="12045" width="16.109375" style="13" bestFit="1" customWidth="1"/>
    <col min="12046" max="12046" width="13.33203125" style="13" bestFit="1" customWidth="1"/>
    <col min="12047" max="12047" width="16.33203125" style="13" bestFit="1" customWidth="1"/>
    <col min="12048" max="12048" width="9.33203125" style="13" bestFit="1" customWidth="1"/>
    <col min="12049" max="12049" width="13" style="13" bestFit="1" customWidth="1"/>
    <col min="12050" max="12050" width="20.109375" style="13" bestFit="1" customWidth="1"/>
    <col min="12051" max="12051" width="50.33203125" style="13" bestFit="1" customWidth="1"/>
    <col min="12052" max="12052" width="16.109375" style="13" bestFit="1" customWidth="1"/>
    <col min="12053" max="12053" width="12.33203125" style="13" customWidth="1"/>
    <col min="12054" max="12054" width="18.88671875" style="13" bestFit="1" customWidth="1"/>
    <col min="12055" max="12055" width="16.6640625" style="13" customWidth="1"/>
    <col min="12056" max="12056" width="19" style="13" bestFit="1" customWidth="1"/>
    <col min="12057" max="12057" width="9.109375" style="13"/>
    <col min="12058" max="12058" width="18.88671875" style="13" bestFit="1" customWidth="1"/>
    <col min="12059" max="12288" width="9.109375" style="13"/>
    <col min="12289" max="12289" width="10.5546875" style="13" bestFit="1" customWidth="1"/>
    <col min="12290" max="12290" width="44.109375" style="13" customWidth="1"/>
    <col min="12291" max="12291" width="14.6640625" style="13" customWidth="1"/>
    <col min="12292" max="12292" width="23.6640625" style="13" bestFit="1" customWidth="1"/>
    <col min="12293" max="12293" width="11.88671875" style="13" customWidth="1"/>
    <col min="12294" max="12294" width="20.6640625" style="13" customWidth="1"/>
    <col min="12295" max="12295" width="15.6640625" style="13" customWidth="1"/>
    <col min="12296" max="12297" width="16.109375" style="13" bestFit="1" customWidth="1"/>
    <col min="12298" max="12298" width="13.6640625" style="13" customWidth="1"/>
    <col min="12299" max="12299" width="12.6640625" style="13" bestFit="1" customWidth="1"/>
    <col min="12300" max="12300" width="15.5546875" style="13" customWidth="1"/>
    <col min="12301" max="12301" width="16.109375" style="13" bestFit="1" customWidth="1"/>
    <col min="12302" max="12302" width="13.33203125" style="13" bestFit="1" customWidth="1"/>
    <col min="12303" max="12303" width="16.33203125" style="13" bestFit="1" customWidth="1"/>
    <col min="12304" max="12304" width="9.33203125" style="13" bestFit="1" customWidth="1"/>
    <col min="12305" max="12305" width="13" style="13" bestFit="1" customWidth="1"/>
    <col min="12306" max="12306" width="20.109375" style="13" bestFit="1" customWidth="1"/>
    <col min="12307" max="12307" width="50.33203125" style="13" bestFit="1" customWidth="1"/>
    <col min="12308" max="12308" width="16.109375" style="13" bestFit="1" customWidth="1"/>
    <col min="12309" max="12309" width="12.33203125" style="13" customWidth="1"/>
    <col min="12310" max="12310" width="18.88671875" style="13" bestFit="1" customWidth="1"/>
    <col min="12311" max="12311" width="16.6640625" style="13" customWidth="1"/>
    <col min="12312" max="12312" width="19" style="13" bestFit="1" customWidth="1"/>
    <col min="12313" max="12313" width="9.109375" style="13"/>
    <col min="12314" max="12314" width="18.88671875" style="13" bestFit="1" customWidth="1"/>
    <col min="12315" max="12544" width="9.109375" style="13"/>
    <col min="12545" max="12545" width="10.5546875" style="13" bestFit="1" customWidth="1"/>
    <col min="12546" max="12546" width="44.109375" style="13" customWidth="1"/>
    <col min="12547" max="12547" width="14.6640625" style="13" customWidth="1"/>
    <col min="12548" max="12548" width="23.6640625" style="13" bestFit="1" customWidth="1"/>
    <col min="12549" max="12549" width="11.88671875" style="13" customWidth="1"/>
    <col min="12550" max="12550" width="20.6640625" style="13" customWidth="1"/>
    <col min="12551" max="12551" width="15.6640625" style="13" customWidth="1"/>
    <col min="12552" max="12553" width="16.109375" style="13" bestFit="1" customWidth="1"/>
    <col min="12554" max="12554" width="13.6640625" style="13" customWidth="1"/>
    <col min="12555" max="12555" width="12.6640625" style="13" bestFit="1" customWidth="1"/>
    <col min="12556" max="12556" width="15.5546875" style="13" customWidth="1"/>
    <col min="12557" max="12557" width="16.109375" style="13" bestFit="1" customWidth="1"/>
    <col min="12558" max="12558" width="13.33203125" style="13" bestFit="1" customWidth="1"/>
    <col min="12559" max="12559" width="16.33203125" style="13" bestFit="1" customWidth="1"/>
    <col min="12560" max="12560" width="9.33203125" style="13" bestFit="1" customWidth="1"/>
    <col min="12561" max="12561" width="13" style="13" bestFit="1" customWidth="1"/>
    <col min="12562" max="12562" width="20.109375" style="13" bestFit="1" customWidth="1"/>
    <col min="12563" max="12563" width="50.33203125" style="13" bestFit="1" customWidth="1"/>
    <col min="12564" max="12564" width="16.109375" style="13" bestFit="1" customWidth="1"/>
    <col min="12565" max="12565" width="12.33203125" style="13" customWidth="1"/>
    <col min="12566" max="12566" width="18.88671875" style="13" bestFit="1" customWidth="1"/>
    <col min="12567" max="12567" width="16.6640625" style="13" customWidth="1"/>
    <col min="12568" max="12568" width="19" style="13" bestFit="1" customWidth="1"/>
    <col min="12569" max="12569" width="9.109375" style="13"/>
    <col min="12570" max="12570" width="18.88671875" style="13" bestFit="1" customWidth="1"/>
    <col min="12571" max="12800" width="9.109375" style="13"/>
    <col min="12801" max="12801" width="10.5546875" style="13" bestFit="1" customWidth="1"/>
    <col min="12802" max="12802" width="44.109375" style="13" customWidth="1"/>
    <col min="12803" max="12803" width="14.6640625" style="13" customWidth="1"/>
    <col min="12804" max="12804" width="23.6640625" style="13" bestFit="1" customWidth="1"/>
    <col min="12805" max="12805" width="11.88671875" style="13" customWidth="1"/>
    <col min="12806" max="12806" width="20.6640625" style="13" customWidth="1"/>
    <col min="12807" max="12807" width="15.6640625" style="13" customWidth="1"/>
    <col min="12808" max="12809" width="16.109375" style="13" bestFit="1" customWidth="1"/>
    <col min="12810" max="12810" width="13.6640625" style="13" customWidth="1"/>
    <col min="12811" max="12811" width="12.6640625" style="13" bestFit="1" customWidth="1"/>
    <col min="12812" max="12812" width="15.5546875" style="13" customWidth="1"/>
    <col min="12813" max="12813" width="16.109375" style="13" bestFit="1" customWidth="1"/>
    <col min="12814" max="12814" width="13.33203125" style="13" bestFit="1" customWidth="1"/>
    <col min="12815" max="12815" width="16.33203125" style="13" bestFit="1" customWidth="1"/>
    <col min="12816" max="12816" width="9.33203125" style="13" bestFit="1" customWidth="1"/>
    <col min="12817" max="12817" width="13" style="13" bestFit="1" customWidth="1"/>
    <col min="12818" max="12818" width="20.109375" style="13" bestFit="1" customWidth="1"/>
    <col min="12819" max="12819" width="50.33203125" style="13" bestFit="1" customWidth="1"/>
    <col min="12820" max="12820" width="16.109375" style="13" bestFit="1" customWidth="1"/>
    <col min="12821" max="12821" width="12.33203125" style="13" customWidth="1"/>
    <col min="12822" max="12822" width="18.88671875" style="13" bestFit="1" customWidth="1"/>
    <col min="12823" max="12823" width="16.6640625" style="13" customWidth="1"/>
    <col min="12824" max="12824" width="19" style="13" bestFit="1" customWidth="1"/>
    <col min="12825" max="12825" width="9.109375" style="13"/>
    <col min="12826" max="12826" width="18.88671875" style="13" bestFit="1" customWidth="1"/>
    <col min="12827" max="13056" width="9.109375" style="13"/>
    <col min="13057" max="13057" width="10.5546875" style="13" bestFit="1" customWidth="1"/>
    <col min="13058" max="13058" width="44.109375" style="13" customWidth="1"/>
    <col min="13059" max="13059" width="14.6640625" style="13" customWidth="1"/>
    <col min="13060" max="13060" width="23.6640625" style="13" bestFit="1" customWidth="1"/>
    <col min="13061" max="13061" width="11.88671875" style="13" customWidth="1"/>
    <col min="13062" max="13062" width="20.6640625" style="13" customWidth="1"/>
    <col min="13063" max="13063" width="15.6640625" style="13" customWidth="1"/>
    <col min="13064" max="13065" width="16.109375" style="13" bestFit="1" customWidth="1"/>
    <col min="13066" max="13066" width="13.6640625" style="13" customWidth="1"/>
    <col min="13067" max="13067" width="12.6640625" style="13" bestFit="1" customWidth="1"/>
    <col min="13068" max="13068" width="15.5546875" style="13" customWidth="1"/>
    <col min="13069" max="13069" width="16.109375" style="13" bestFit="1" customWidth="1"/>
    <col min="13070" max="13070" width="13.33203125" style="13" bestFit="1" customWidth="1"/>
    <col min="13071" max="13071" width="16.33203125" style="13" bestFit="1" customWidth="1"/>
    <col min="13072" max="13072" width="9.33203125" style="13" bestFit="1" customWidth="1"/>
    <col min="13073" max="13073" width="13" style="13" bestFit="1" customWidth="1"/>
    <col min="13074" max="13074" width="20.109375" style="13" bestFit="1" customWidth="1"/>
    <col min="13075" max="13075" width="50.33203125" style="13" bestFit="1" customWidth="1"/>
    <col min="13076" max="13076" width="16.109375" style="13" bestFit="1" customWidth="1"/>
    <col min="13077" max="13077" width="12.33203125" style="13" customWidth="1"/>
    <col min="13078" max="13078" width="18.88671875" style="13" bestFit="1" customWidth="1"/>
    <col min="13079" max="13079" width="16.6640625" style="13" customWidth="1"/>
    <col min="13080" max="13080" width="19" style="13" bestFit="1" customWidth="1"/>
    <col min="13081" max="13081" width="9.109375" style="13"/>
    <col min="13082" max="13082" width="18.88671875" style="13" bestFit="1" customWidth="1"/>
    <col min="13083" max="13312" width="9.109375" style="13"/>
    <col min="13313" max="13313" width="10.5546875" style="13" bestFit="1" customWidth="1"/>
    <col min="13314" max="13314" width="44.109375" style="13" customWidth="1"/>
    <col min="13315" max="13315" width="14.6640625" style="13" customWidth="1"/>
    <col min="13316" max="13316" width="23.6640625" style="13" bestFit="1" customWidth="1"/>
    <col min="13317" max="13317" width="11.88671875" style="13" customWidth="1"/>
    <col min="13318" max="13318" width="20.6640625" style="13" customWidth="1"/>
    <col min="13319" max="13319" width="15.6640625" style="13" customWidth="1"/>
    <col min="13320" max="13321" width="16.109375" style="13" bestFit="1" customWidth="1"/>
    <col min="13322" max="13322" width="13.6640625" style="13" customWidth="1"/>
    <col min="13323" max="13323" width="12.6640625" style="13" bestFit="1" customWidth="1"/>
    <col min="13324" max="13324" width="15.5546875" style="13" customWidth="1"/>
    <col min="13325" max="13325" width="16.109375" style="13" bestFit="1" customWidth="1"/>
    <col min="13326" max="13326" width="13.33203125" style="13" bestFit="1" customWidth="1"/>
    <col min="13327" max="13327" width="16.33203125" style="13" bestFit="1" customWidth="1"/>
    <col min="13328" max="13328" width="9.33203125" style="13" bestFit="1" customWidth="1"/>
    <col min="13329" max="13329" width="13" style="13" bestFit="1" customWidth="1"/>
    <col min="13330" max="13330" width="20.109375" style="13" bestFit="1" customWidth="1"/>
    <col min="13331" max="13331" width="50.33203125" style="13" bestFit="1" customWidth="1"/>
    <col min="13332" max="13332" width="16.109375" style="13" bestFit="1" customWidth="1"/>
    <col min="13333" max="13333" width="12.33203125" style="13" customWidth="1"/>
    <col min="13334" max="13334" width="18.88671875" style="13" bestFit="1" customWidth="1"/>
    <col min="13335" max="13335" width="16.6640625" style="13" customWidth="1"/>
    <col min="13336" max="13336" width="19" style="13" bestFit="1" customWidth="1"/>
    <col min="13337" max="13337" width="9.109375" style="13"/>
    <col min="13338" max="13338" width="18.88671875" style="13" bestFit="1" customWidth="1"/>
    <col min="13339" max="13568" width="9.109375" style="13"/>
    <col min="13569" max="13569" width="10.5546875" style="13" bestFit="1" customWidth="1"/>
    <col min="13570" max="13570" width="44.109375" style="13" customWidth="1"/>
    <col min="13571" max="13571" width="14.6640625" style="13" customWidth="1"/>
    <col min="13572" max="13572" width="23.6640625" style="13" bestFit="1" customWidth="1"/>
    <col min="13573" max="13573" width="11.88671875" style="13" customWidth="1"/>
    <col min="13574" max="13574" width="20.6640625" style="13" customWidth="1"/>
    <col min="13575" max="13575" width="15.6640625" style="13" customWidth="1"/>
    <col min="13576" max="13577" width="16.109375" style="13" bestFit="1" customWidth="1"/>
    <col min="13578" max="13578" width="13.6640625" style="13" customWidth="1"/>
    <col min="13579" max="13579" width="12.6640625" style="13" bestFit="1" customWidth="1"/>
    <col min="13580" max="13580" width="15.5546875" style="13" customWidth="1"/>
    <col min="13581" max="13581" width="16.109375" style="13" bestFit="1" customWidth="1"/>
    <col min="13582" max="13582" width="13.33203125" style="13" bestFit="1" customWidth="1"/>
    <col min="13583" max="13583" width="16.33203125" style="13" bestFit="1" customWidth="1"/>
    <col min="13584" max="13584" width="9.33203125" style="13" bestFit="1" customWidth="1"/>
    <col min="13585" max="13585" width="13" style="13" bestFit="1" customWidth="1"/>
    <col min="13586" max="13586" width="20.109375" style="13" bestFit="1" customWidth="1"/>
    <col min="13587" max="13587" width="50.33203125" style="13" bestFit="1" customWidth="1"/>
    <col min="13588" max="13588" width="16.109375" style="13" bestFit="1" customWidth="1"/>
    <col min="13589" max="13589" width="12.33203125" style="13" customWidth="1"/>
    <col min="13590" max="13590" width="18.88671875" style="13" bestFit="1" customWidth="1"/>
    <col min="13591" max="13591" width="16.6640625" style="13" customWidth="1"/>
    <col min="13592" max="13592" width="19" style="13" bestFit="1" customWidth="1"/>
    <col min="13593" max="13593" width="9.109375" style="13"/>
    <col min="13594" max="13594" width="18.88671875" style="13" bestFit="1" customWidth="1"/>
    <col min="13595" max="13824" width="9.109375" style="13"/>
    <col min="13825" max="13825" width="10.5546875" style="13" bestFit="1" customWidth="1"/>
    <col min="13826" max="13826" width="44.109375" style="13" customWidth="1"/>
    <col min="13827" max="13827" width="14.6640625" style="13" customWidth="1"/>
    <col min="13828" max="13828" width="23.6640625" style="13" bestFit="1" customWidth="1"/>
    <col min="13829" max="13829" width="11.88671875" style="13" customWidth="1"/>
    <col min="13830" max="13830" width="20.6640625" style="13" customWidth="1"/>
    <col min="13831" max="13831" width="15.6640625" style="13" customWidth="1"/>
    <col min="13832" max="13833" width="16.109375" style="13" bestFit="1" customWidth="1"/>
    <col min="13834" max="13834" width="13.6640625" style="13" customWidth="1"/>
    <col min="13835" max="13835" width="12.6640625" style="13" bestFit="1" customWidth="1"/>
    <col min="13836" max="13836" width="15.5546875" style="13" customWidth="1"/>
    <col min="13837" max="13837" width="16.109375" style="13" bestFit="1" customWidth="1"/>
    <col min="13838" max="13838" width="13.33203125" style="13" bestFit="1" customWidth="1"/>
    <col min="13839" max="13839" width="16.33203125" style="13" bestFit="1" customWidth="1"/>
    <col min="13840" max="13840" width="9.33203125" style="13" bestFit="1" customWidth="1"/>
    <col min="13841" max="13841" width="13" style="13" bestFit="1" customWidth="1"/>
    <col min="13842" max="13842" width="20.109375" style="13" bestFit="1" customWidth="1"/>
    <col min="13843" max="13843" width="50.33203125" style="13" bestFit="1" customWidth="1"/>
    <col min="13844" max="13844" width="16.109375" style="13" bestFit="1" customWidth="1"/>
    <col min="13845" max="13845" width="12.33203125" style="13" customWidth="1"/>
    <col min="13846" max="13846" width="18.88671875" style="13" bestFit="1" customWidth="1"/>
    <col min="13847" max="13847" width="16.6640625" style="13" customWidth="1"/>
    <col min="13848" max="13848" width="19" style="13" bestFit="1" customWidth="1"/>
    <col min="13849" max="13849" width="9.109375" style="13"/>
    <col min="13850" max="13850" width="18.88671875" style="13" bestFit="1" customWidth="1"/>
    <col min="13851" max="14080" width="9.109375" style="13"/>
    <col min="14081" max="14081" width="10.5546875" style="13" bestFit="1" customWidth="1"/>
    <col min="14082" max="14082" width="44.109375" style="13" customWidth="1"/>
    <col min="14083" max="14083" width="14.6640625" style="13" customWidth="1"/>
    <col min="14084" max="14084" width="23.6640625" style="13" bestFit="1" customWidth="1"/>
    <col min="14085" max="14085" width="11.88671875" style="13" customWidth="1"/>
    <col min="14086" max="14086" width="20.6640625" style="13" customWidth="1"/>
    <col min="14087" max="14087" width="15.6640625" style="13" customWidth="1"/>
    <col min="14088" max="14089" width="16.109375" style="13" bestFit="1" customWidth="1"/>
    <col min="14090" max="14090" width="13.6640625" style="13" customWidth="1"/>
    <col min="14091" max="14091" width="12.6640625" style="13" bestFit="1" customWidth="1"/>
    <col min="14092" max="14092" width="15.5546875" style="13" customWidth="1"/>
    <col min="14093" max="14093" width="16.109375" style="13" bestFit="1" customWidth="1"/>
    <col min="14094" max="14094" width="13.33203125" style="13" bestFit="1" customWidth="1"/>
    <col min="14095" max="14095" width="16.33203125" style="13" bestFit="1" customWidth="1"/>
    <col min="14096" max="14096" width="9.33203125" style="13" bestFit="1" customWidth="1"/>
    <col min="14097" max="14097" width="13" style="13" bestFit="1" customWidth="1"/>
    <col min="14098" max="14098" width="20.109375" style="13" bestFit="1" customWidth="1"/>
    <col min="14099" max="14099" width="50.33203125" style="13" bestFit="1" customWidth="1"/>
    <col min="14100" max="14100" width="16.109375" style="13" bestFit="1" customWidth="1"/>
    <col min="14101" max="14101" width="12.33203125" style="13" customWidth="1"/>
    <col min="14102" max="14102" width="18.88671875" style="13" bestFit="1" customWidth="1"/>
    <col min="14103" max="14103" width="16.6640625" style="13" customWidth="1"/>
    <col min="14104" max="14104" width="19" style="13" bestFit="1" customWidth="1"/>
    <col min="14105" max="14105" width="9.109375" style="13"/>
    <col min="14106" max="14106" width="18.88671875" style="13" bestFit="1" customWidth="1"/>
    <col min="14107" max="14336" width="9.109375" style="13"/>
    <col min="14337" max="14337" width="10.5546875" style="13" bestFit="1" customWidth="1"/>
    <col min="14338" max="14338" width="44.109375" style="13" customWidth="1"/>
    <col min="14339" max="14339" width="14.6640625" style="13" customWidth="1"/>
    <col min="14340" max="14340" width="23.6640625" style="13" bestFit="1" customWidth="1"/>
    <col min="14341" max="14341" width="11.88671875" style="13" customWidth="1"/>
    <col min="14342" max="14342" width="20.6640625" style="13" customWidth="1"/>
    <col min="14343" max="14343" width="15.6640625" style="13" customWidth="1"/>
    <col min="14344" max="14345" width="16.109375" style="13" bestFit="1" customWidth="1"/>
    <col min="14346" max="14346" width="13.6640625" style="13" customWidth="1"/>
    <col min="14347" max="14347" width="12.6640625" style="13" bestFit="1" customWidth="1"/>
    <col min="14348" max="14348" width="15.5546875" style="13" customWidth="1"/>
    <col min="14349" max="14349" width="16.109375" style="13" bestFit="1" customWidth="1"/>
    <col min="14350" max="14350" width="13.33203125" style="13" bestFit="1" customWidth="1"/>
    <col min="14351" max="14351" width="16.33203125" style="13" bestFit="1" customWidth="1"/>
    <col min="14352" max="14352" width="9.33203125" style="13" bestFit="1" customWidth="1"/>
    <col min="14353" max="14353" width="13" style="13" bestFit="1" customWidth="1"/>
    <col min="14354" max="14354" width="20.109375" style="13" bestFit="1" customWidth="1"/>
    <col min="14355" max="14355" width="50.33203125" style="13" bestFit="1" customWidth="1"/>
    <col min="14356" max="14356" width="16.109375" style="13" bestFit="1" customWidth="1"/>
    <col min="14357" max="14357" width="12.33203125" style="13" customWidth="1"/>
    <col min="14358" max="14358" width="18.88671875" style="13" bestFit="1" customWidth="1"/>
    <col min="14359" max="14359" width="16.6640625" style="13" customWidth="1"/>
    <col min="14360" max="14360" width="19" style="13" bestFit="1" customWidth="1"/>
    <col min="14361" max="14361" width="9.109375" style="13"/>
    <col min="14362" max="14362" width="18.88671875" style="13" bestFit="1" customWidth="1"/>
    <col min="14363" max="14592" width="9.109375" style="13"/>
    <col min="14593" max="14593" width="10.5546875" style="13" bestFit="1" customWidth="1"/>
    <col min="14594" max="14594" width="44.109375" style="13" customWidth="1"/>
    <col min="14595" max="14595" width="14.6640625" style="13" customWidth="1"/>
    <col min="14596" max="14596" width="23.6640625" style="13" bestFit="1" customWidth="1"/>
    <col min="14597" max="14597" width="11.88671875" style="13" customWidth="1"/>
    <col min="14598" max="14598" width="20.6640625" style="13" customWidth="1"/>
    <col min="14599" max="14599" width="15.6640625" style="13" customWidth="1"/>
    <col min="14600" max="14601" width="16.109375" style="13" bestFit="1" customWidth="1"/>
    <col min="14602" max="14602" width="13.6640625" style="13" customWidth="1"/>
    <col min="14603" max="14603" width="12.6640625" style="13" bestFit="1" customWidth="1"/>
    <col min="14604" max="14604" width="15.5546875" style="13" customWidth="1"/>
    <col min="14605" max="14605" width="16.109375" style="13" bestFit="1" customWidth="1"/>
    <col min="14606" max="14606" width="13.33203125" style="13" bestFit="1" customWidth="1"/>
    <col min="14607" max="14607" width="16.33203125" style="13" bestFit="1" customWidth="1"/>
    <col min="14608" max="14608" width="9.33203125" style="13" bestFit="1" customWidth="1"/>
    <col min="14609" max="14609" width="13" style="13" bestFit="1" customWidth="1"/>
    <col min="14610" max="14610" width="20.109375" style="13" bestFit="1" customWidth="1"/>
    <col min="14611" max="14611" width="50.33203125" style="13" bestFit="1" customWidth="1"/>
    <col min="14612" max="14612" width="16.109375" style="13" bestFit="1" customWidth="1"/>
    <col min="14613" max="14613" width="12.33203125" style="13" customWidth="1"/>
    <col min="14614" max="14614" width="18.88671875" style="13" bestFit="1" customWidth="1"/>
    <col min="14615" max="14615" width="16.6640625" style="13" customWidth="1"/>
    <col min="14616" max="14616" width="19" style="13" bestFit="1" customWidth="1"/>
    <col min="14617" max="14617" width="9.109375" style="13"/>
    <col min="14618" max="14618" width="18.88671875" style="13" bestFit="1" customWidth="1"/>
    <col min="14619" max="14848" width="9.109375" style="13"/>
    <col min="14849" max="14849" width="10.5546875" style="13" bestFit="1" customWidth="1"/>
    <col min="14850" max="14850" width="44.109375" style="13" customWidth="1"/>
    <col min="14851" max="14851" width="14.6640625" style="13" customWidth="1"/>
    <col min="14852" max="14852" width="23.6640625" style="13" bestFit="1" customWidth="1"/>
    <col min="14853" max="14853" width="11.88671875" style="13" customWidth="1"/>
    <col min="14854" max="14854" width="20.6640625" style="13" customWidth="1"/>
    <col min="14855" max="14855" width="15.6640625" style="13" customWidth="1"/>
    <col min="14856" max="14857" width="16.109375" style="13" bestFit="1" customWidth="1"/>
    <col min="14858" max="14858" width="13.6640625" style="13" customWidth="1"/>
    <col min="14859" max="14859" width="12.6640625" style="13" bestFit="1" customWidth="1"/>
    <col min="14860" max="14860" width="15.5546875" style="13" customWidth="1"/>
    <col min="14861" max="14861" width="16.109375" style="13" bestFit="1" customWidth="1"/>
    <col min="14862" max="14862" width="13.33203125" style="13" bestFit="1" customWidth="1"/>
    <col min="14863" max="14863" width="16.33203125" style="13" bestFit="1" customWidth="1"/>
    <col min="14864" max="14864" width="9.33203125" style="13" bestFit="1" customWidth="1"/>
    <col min="14865" max="14865" width="13" style="13" bestFit="1" customWidth="1"/>
    <col min="14866" max="14866" width="20.109375" style="13" bestFit="1" customWidth="1"/>
    <col min="14867" max="14867" width="50.33203125" style="13" bestFit="1" customWidth="1"/>
    <col min="14868" max="14868" width="16.109375" style="13" bestFit="1" customWidth="1"/>
    <col min="14869" max="14869" width="12.33203125" style="13" customWidth="1"/>
    <col min="14870" max="14870" width="18.88671875" style="13" bestFit="1" customWidth="1"/>
    <col min="14871" max="14871" width="16.6640625" style="13" customWidth="1"/>
    <col min="14872" max="14872" width="19" style="13" bestFit="1" customWidth="1"/>
    <col min="14873" max="14873" width="9.109375" style="13"/>
    <col min="14874" max="14874" width="18.88671875" style="13" bestFit="1" customWidth="1"/>
    <col min="14875" max="15104" width="9.109375" style="13"/>
    <col min="15105" max="15105" width="10.5546875" style="13" bestFit="1" customWidth="1"/>
    <col min="15106" max="15106" width="44.109375" style="13" customWidth="1"/>
    <col min="15107" max="15107" width="14.6640625" style="13" customWidth="1"/>
    <col min="15108" max="15108" width="23.6640625" style="13" bestFit="1" customWidth="1"/>
    <col min="15109" max="15109" width="11.88671875" style="13" customWidth="1"/>
    <col min="15110" max="15110" width="20.6640625" style="13" customWidth="1"/>
    <col min="15111" max="15111" width="15.6640625" style="13" customWidth="1"/>
    <col min="15112" max="15113" width="16.109375" style="13" bestFit="1" customWidth="1"/>
    <col min="15114" max="15114" width="13.6640625" style="13" customWidth="1"/>
    <col min="15115" max="15115" width="12.6640625" style="13" bestFit="1" customWidth="1"/>
    <col min="15116" max="15116" width="15.5546875" style="13" customWidth="1"/>
    <col min="15117" max="15117" width="16.109375" style="13" bestFit="1" customWidth="1"/>
    <col min="15118" max="15118" width="13.33203125" style="13" bestFit="1" customWidth="1"/>
    <col min="15119" max="15119" width="16.33203125" style="13" bestFit="1" customWidth="1"/>
    <col min="15120" max="15120" width="9.33203125" style="13" bestFit="1" customWidth="1"/>
    <col min="15121" max="15121" width="13" style="13" bestFit="1" customWidth="1"/>
    <col min="15122" max="15122" width="20.109375" style="13" bestFit="1" customWidth="1"/>
    <col min="15123" max="15123" width="50.33203125" style="13" bestFit="1" customWidth="1"/>
    <col min="15124" max="15124" width="16.109375" style="13" bestFit="1" customWidth="1"/>
    <col min="15125" max="15125" width="12.33203125" style="13" customWidth="1"/>
    <col min="15126" max="15126" width="18.88671875" style="13" bestFit="1" customWidth="1"/>
    <col min="15127" max="15127" width="16.6640625" style="13" customWidth="1"/>
    <col min="15128" max="15128" width="19" style="13" bestFit="1" customWidth="1"/>
    <col min="15129" max="15129" width="9.109375" style="13"/>
    <col min="15130" max="15130" width="18.88671875" style="13" bestFit="1" customWidth="1"/>
    <col min="15131" max="15360" width="9.109375" style="13"/>
    <col min="15361" max="15361" width="10.5546875" style="13" bestFit="1" customWidth="1"/>
    <col min="15362" max="15362" width="44.109375" style="13" customWidth="1"/>
    <col min="15363" max="15363" width="14.6640625" style="13" customWidth="1"/>
    <col min="15364" max="15364" width="23.6640625" style="13" bestFit="1" customWidth="1"/>
    <col min="15365" max="15365" width="11.88671875" style="13" customWidth="1"/>
    <col min="15366" max="15366" width="20.6640625" style="13" customWidth="1"/>
    <col min="15367" max="15367" width="15.6640625" style="13" customWidth="1"/>
    <col min="15368" max="15369" width="16.109375" style="13" bestFit="1" customWidth="1"/>
    <col min="15370" max="15370" width="13.6640625" style="13" customWidth="1"/>
    <col min="15371" max="15371" width="12.6640625" style="13" bestFit="1" customWidth="1"/>
    <col min="15372" max="15372" width="15.5546875" style="13" customWidth="1"/>
    <col min="15373" max="15373" width="16.109375" style="13" bestFit="1" customWidth="1"/>
    <col min="15374" max="15374" width="13.33203125" style="13" bestFit="1" customWidth="1"/>
    <col min="15375" max="15375" width="16.33203125" style="13" bestFit="1" customWidth="1"/>
    <col min="15376" max="15376" width="9.33203125" style="13" bestFit="1" customWidth="1"/>
    <col min="15377" max="15377" width="13" style="13" bestFit="1" customWidth="1"/>
    <col min="15378" max="15378" width="20.109375" style="13" bestFit="1" customWidth="1"/>
    <col min="15379" max="15379" width="50.33203125" style="13" bestFit="1" customWidth="1"/>
    <col min="15380" max="15380" width="16.109375" style="13" bestFit="1" customWidth="1"/>
    <col min="15381" max="15381" width="12.33203125" style="13" customWidth="1"/>
    <col min="15382" max="15382" width="18.88671875" style="13" bestFit="1" customWidth="1"/>
    <col min="15383" max="15383" width="16.6640625" style="13" customWidth="1"/>
    <col min="15384" max="15384" width="19" style="13" bestFit="1" customWidth="1"/>
    <col min="15385" max="15385" width="9.109375" style="13"/>
    <col min="15386" max="15386" width="18.88671875" style="13" bestFit="1" customWidth="1"/>
    <col min="15387" max="15616" width="9.109375" style="13"/>
    <col min="15617" max="15617" width="10.5546875" style="13" bestFit="1" customWidth="1"/>
    <col min="15618" max="15618" width="44.109375" style="13" customWidth="1"/>
    <col min="15619" max="15619" width="14.6640625" style="13" customWidth="1"/>
    <col min="15620" max="15620" width="23.6640625" style="13" bestFit="1" customWidth="1"/>
    <col min="15621" max="15621" width="11.88671875" style="13" customWidth="1"/>
    <col min="15622" max="15622" width="20.6640625" style="13" customWidth="1"/>
    <col min="15623" max="15623" width="15.6640625" style="13" customWidth="1"/>
    <col min="15624" max="15625" width="16.109375" style="13" bestFit="1" customWidth="1"/>
    <col min="15626" max="15626" width="13.6640625" style="13" customWidth="1"/>
    <col min="15627" max="15627" width="12.6640625" style="13" bestFit="1" customWidth="1"/>
    <col min="15628" max="15628" width="15.5546875" style="13" customWidth="1"/>
    <col min="15629" max="15629" width="16.109375" style="13" bestFit="1" customWidth="1"/>
    <col min="15630" max="15630" width="13.33203125" style="13" bestFit="1" customWidth="1"/>
    <col min="15631" max="15631" width="16.33203125" style="13" bestFit="1" customWidth="1"/>
    <col min="15632" max="15632" width="9.33203125" style="13" bestFit="1" customWidth="1"/>
    <col min="15633" max="15633" width="13" style="13" bestFit="1" customWidth="1"/>
    <col min="15634" max="15634" width="20.109375" style="13" bestFit="1" customWidth="1"/>
    <col min="15635" max="15635" width="50.33203125" style="13" bestFit="1" customWidth="1"/>
    <col min="15636" max="15636" width="16.109375" style="13" bestFit="1" customWidth="1"/>
    <col min="15637" max="15637" width="12.33203125" style="13" customWidth="1"/>
    <col min="15638" max="15638" width="18.88671875" style="13" bestFit="1" customWidth="1"/>
    <col min="15639" max="15639" width="16.6640625" style="13" customWidth="1"/>
    <col min="15640" max="15640" width="19" style="13" bestFit="1" customWidth="1"/>
    <col min="15641" max="15641" width="9.109375" style="13"/>
    <col min="15642" max="15642" width="18.88671875" style="13" bestFit="1" customWidth="1"/>
    <col min="15643" max="15872" width="9.109375" style="13"/>
    <col min="15873" max="15873" width="10.5546875" style="13" bestFit="1" customWidth="1"/>
    <col min="15874" max="15874" width="44.109375" style="13" customWidth="1"/>
    <col min="15875" max="15875" width="14.6640625" style="13" customWidth="1"/>
    <col min="15876" max="15876" width="23.6640625" style="13" bestFit="1" customWidth="1"/>
    <col min="15877" max="15877" width="11.88671875" style="13" customWidth="1"/>
    <col min="15878" max="15878" width="20.6640625" style="13" customWidth="1"/>
    <col min="15879" max="15879" width="15.6640625" style="13" customWidth="1"/>
    <col min="15880" max="15881" width="16.109375" style="13" bestFit="1" customWidth="1"/>
    <col min="15882" max="15882" width="13.6640625" style="13" customWidth="1"/>
    <col min="15883" max="15883" width="12.6640625" style="13" bestFit="1" customWidth="1"/>
    <col min="15884" max="15884" width="15.5546875" style="13" customWidth="1"/>
    <col min="15885" max="15885" width="16.109375" style="13" bestFit="1" customWidth="1"/>
    <col min="15886" max="15886" width="13.33203125" style="13" bestFit="1" customWidth="1"/>
    <col min="15887" max="15887" width="16.33203125" style="13" bestFit="1" customWidth="1"/>
    <col min="15888" max="15888" width="9.33203125" style="13" bestFit="1" customWidth="1"/>
    <col min="15889" max="15889" width="13" style="13" bestFit="1" customWidth="1"/>
    <col min="15890" max="15890" width="20.109375" style="13" bestFit="1" customWidth="1"/>
    <col min="15891" max="15891" width="50.33203125" style="13" bestFit="1" customWidth="1"/>
    <col min="15892" max="15892" width="16.109375" style="13" bestFit="1" customWidth="1"/>
    <col min="15893" max="15893" width="12.33203125" style="13" customWidth="1"/>
    <col min="15894" max="15894" width="18.88671875" style="13" bestFit="1" customWidth="1"/>
    <col min="15895" max="15895" width="16.6640625" style="13" customWidth="1"/>
    <col min="15896" max="15896" width="19" style="13" bestFit="1" customWidth="1"/>
    <col min="15897" max="15897" width="9.109375" style="13"/>
    <col min="15898" max="15898" width="18.88671875" style="13" bestFit="1" customWidth="1"/>
    <col min="15899" max="16128" width="9.109375" style="13"/>
    <col min="16129" max="16129" width="10.5546875" style="13" bestFit="1" customWidth="1"/>
    <col min="16130" max="16130" width="44.109375" style="13" customWidth="1"/>
    <col min="16131" max="16131" width="14.6640625" style="13" customWidth="1"/>
    <col min="16132" max="16132" width="23.6640625" style="13" bestFit="1" customWidth="1"/>
    <col min="16133" max="16133" width="11.88671875" style="13" customWidth="1"/>
    <col min="16134" max="16134" width="20.6640625" style="13" customWidth="1"/>
    <col min="16135" max="16135" width="15.6640625" style="13" customWidth="1"/>
    <col min="16136" max="16137" width="16.109375" style="13" bestFit="1" customWidth="1"/>
    <col min="16138" max="16138" width="13.6640625" style="13" customWidth="1"/>
    <col min="16139" max="16139" width="12.6640625" style="13" bestFit="1" customWidth="1"/>
    <col min="16140" max="16140" width="15.5546875" style="13" customWidth="1"/>
    <col min="16141" max="16141" width="16.109375" style="13" bestFit="1" customWidth="1"/>
    <col min="16142" max="16142" width="13.33203125" style="13" bestFit="1" customWidth="1"/>
    <col min="16143" max="16143" width="16.33203125" style="13" bestFit="1" customWidth="1"/>
    <col min="16144" max="16144" width="9.33203125" style="13" bestFit="1" customWidth="1"/>
    <col min="16145" max="16145" width="13" style="13" bestFit="1" customWidth="1"/>
    <col min="16146" max="16146" width="20.109375" style="13" bestFit="1" customWidth="1"/>
    <col min="16147" max="16147" width="50.33203125" style="13" bestFit="1" customWidth="1"/>
    <col min="16148" max="16148" width="16.109375" style="13" bestFit="1" customWidth="1"/>
    <col min="16149" max="16149" width="12.33203125" style="13" customWidth="1"/>
    <col min="16150" max="16150" width="18.88671875" style="13" bestFit="1" customWidth="1"/>
    <col min="16151" max="16151" width="16.6640625" style="13" customWidth="1"/>
    <col min="16152" max="16152" width="19" style="13" bestFit="1" customWidth="1"/>
    <col min="16153" max="16153" width="9.109375" style="13"/>
    <col min="16154" max="16154" width="18.88671875" style="13" bestFit="1" customWidth="1"/>
    <col min="16155" max="16384" width="9.109375" style="13"/>
  </cols>
  <sheetData>
    <row r="1" spans="1:26">
      <c r="J1" s="16"/>
      <c r="K1" s="16"/>
      <c r="L1" s="16"/>
    </row>
    <row r="2" spans="1:26" ht="17.399999999999999">
      <c r="A2" s="208" t="s">
        <v>226</v>
      </c>
      <c r="J2" s="207"/>
      <c r="K2" s="16"/>
      <c r="L2" s="16"/>
    </row>
    <row r="3" spans="1:26" ht="14.4" thickBot="1">
      <c r="A3" s="9" t="s">
        <v>132</v>
      </c>
      <c r="H3" s="49"/>
      <c r="J3" s="206"/>
      <c r="K3" s="16"/>
      <c r="L3" s="16"/>
    </row>
    <row r="4" spans="1:26" ht="16.2" thickBot="1">
      <c r="A4" s="92"/>
      <c r="B4" s="90"/>
      <c r="C4" s="90" t="s">
        <v>225</v>
      </c>
      <c r="D4" s="205" t="e">
        <f>L218</f>
        <v>#REF!</v>
      </c>
      <c r="H4" s="49"/>
      <c r="J4" s="194"/>
      <c r="K4" s="204"/>
      <c r="L4" s="16"/>
    </row>
    <row r="5" spans="1:26">
      <c r="A5" s="94"/>
      <c r="B5" s="94"/>
      <c r="C5" s="94"/>
      <c r="D5" s="94"/>
      <c r="E5" s="94"/>
      <c r="F5" s="94"/>
      <c r="H5" s="49"/>
      <c r="J5" s="16"/>
      <c r="K5" s="193"/>
      <c r="L5" s="48"/>
      <c r="M5" s="49"/>
      <c r="N5" s="49"/>
      <c r="O5" s="49"/>
      <c r="P5" s="49"/>
      <c r="Q5" s="49"/>
      <c r="R5" s="49"/>
      <c r="S5" s="49"/>
      <c r="T5" s="203"/>
      <c r="U5" s="203"/>
      <c r="V5" s="203"/>
      <c r="W5" s="203"/>
      <c r="X5" s="203"/>
    </row>
    <row r="6" spans="1:26" ht="14.4">
      <c r="A6" s="94"/>
      <c r="B6" s="202"/>
      <c r="C6" s="201"/>
      <c r="D6" s="200"/>
      <c r="E6" s="201"/>
      <c r="F6" s="200" t="s">
        <v>99</v>
      </c>
      <c r="H6" s="49"/>
      <c r="J6" s="16"/>
      <c r="K6" s="193"/>
      <c r="L6" s="48"/>
      <c r="M6" s="49"/>
      <c r="N6" s="49"/>
      <c r="O6" s="49"/>
      <c r="P6" s="49"/>
      <c r="Q6" s="49"/>
      <c r="R6" s="49"/>
      <c r="S6" s="49"/>
      <c r="T6" s="199"/>
      <c r="X6" s="198"/>
      <c r="Z6" s="192"/>
    </row>
    <row r="7" spans="1:26" ht="15.6">
      <c r="A7" s="100"/>
      <c r="B7" s="197"/>
      <c r="C7" s="197"/>
      <c r="D7" s="9"/>
      <c r="E7" s="196" t="s">
        <v>224</v>
      </c>
      <c r="F7" s="195" t="e">
        <f>L214</f>
        <v>#REF!</v>
      </c>
      <c r="H7" s="49"/>
      <c r="J7" s="194"/>
      <c r="K7" s="193"/>
      <c r="L7" s="48"/>
      <c r="M7" s="49"/>
      <c r="N7" s="49"/>
      <c r="O7" s="49"/>
      <c r="P7" s="49"/>
      <c r="Q7" s="49"/>
      <c r="R7" s="49"/>
      <c r="S7" s="49"/>
      <c r="T7" s="86"/>
      <c r="Z7" s="192"/>
    </row>
    <row r="8" spans="1:26" ht="14.4">
      <c r="A8" s="93"/>
      <c r="B8" s="93"/>
      <c r="H8" s="49"/>
      <c r="J8" s="16"/>
      <c r="K8" s="48"/>
      <c r="L8" s="48"/>
      <c r="M8" s="49"/>
      <c r="N8" s="49"/>
      <c r="O8" s="49"/>
      <c r="P8" s="49"/>
      <c r="Q8" s="49"/>
      <c r="R8" s="49"/>
      <c r="S8" s="49"/>
      <c r="Z8" s="192"/>
    </row>
    <row r="9" spans="1:26" ht="14.4">
      <c r="H9" s="49"/>
      <c r="J9" s="16"/>
      <c r="K9" s="48"/>
      <c r="L9" s="48"/>
      <c r="M9" s="49"/>
      <c r="N9" s="49"/>
      <c r="O9" s="49"/>
      <c r="P9" s="49"/>
      <c r="Q9" s="49"/>
      <c r="R9" s="49"/>
      <c r="S9" s="49"/>
      <c r="Z9" s="192"/>
    </row>
    <row r="10" spans="1:26" ht="14.4">
      <c r="H10" s="49"/>
      <c r="J10" s="16"/>
      <c r="K10" s="48"/>
      <c r="L10" s="48"/>
      <c r="M10" s="49"/>
      <c r="N10" s="49"/>
      <c r="O10" s="49"/>
      <c r="P10" s="49"/>
      <c r="Q10" s="49"/>
      <c r="R10" s="49"/>
      <c r="S10" s="49"/>
      <c r="T10" s="190"/>
      <c r="X10" s="190"/>
      <c r="Z10" s="192"/>
    </row>
    <row r="11" spans="1:26">
      <c r="H11" s="49"/>
      <c r="J11" s="16"/>
      <c r="K11" s="48"/>
      <c r="L11" s="48"/>
      <c r="M11" s="49"/>
      <c r="N11" s="49"/>
      <c r="O11" s="49"/>
      <c r="P11" s="49"/>
      <c r="Q11" s="49"/>
      <c r="R11" s="49"/>
      <c r="S11" s="49"/>
      <c r="Z11" s="49"/>
    </row>
    <row r="12" spans="1:26">
      <c r="B12" s="150" t="s">
        <v>223</v>
      </c>
      <c r="H12" s="49"/>
      <c r="K12" s="49"/>
      <c r="L12" s="49"/>
      <c r="M12" s="49"/>
      <c r="N12" s="49"/>
      <c r="O12" s="49"/>
      <c r="P12" s="49"/>
      <c r="Q12" s="49"/>
      <c r="R12" s="49"/>
      <c r="S12" s="49"/>
      <c r="Z12" s="49"/>
    </row>
    <row r="13" spans="1:26">
      <c r="B13" s="124"/>
      <c r="H13" s="49"/>
      <c r="K13" s="49"/>
      <c r="L13" s="49"/>
      <c r="M13" s="49"/>
      <c r="N13" s="49"/>
      <c r="O13" s="49"/>
      <c r="P13" s="49"/>
      <c r="Q13" s="49"/>
      <c r="R13" s="49"/>
      <c r="S13" s="49"/>
      <c r="Z13" s="49"/>
    </row>
    <row r="14" spans="1:26">
      <c r="B14" s="129" t="s">
        <v>222</v>
      </c>
      <c r="C14" s="94"/>
      <c r="D14" s="94"/>
      <c r="E14" s="94"/>
      <c r="H14" s="49"/>
      <c r="K14" s="49"/>
      <c r="L14" s="49"/>
      <c r="M14" s="49"/>
      <c r="N14" s="49"/>
      <c r="O14" s="49"/>
      <c r="P14" s="49"/>
      <c r="Q14" s="49"/>
      <c r="R14" s="49"/>
      <c r="S14" s="49"/>
      <c r="Z14" s="49"/>
    </row>
    <row r="15" spans="1:26" ht="14.4">
      <c r="B15" s="139" t="s">
        <v>172</v>
      </c>
      <c r="C15" s="139"/>
      <c r="D15" s="191">
        <v>14101.476000000001</v>
      </c>
      <c r="E15" s="141" t="s">
        <v>171</v>
      </c>
      <c r="F15" s="49"/>
      <c r="H15" s="49"/>
      <c r="K15" s="49"/>
      <c r="L15" s="49"/>
      <c r="M15" s="49"/>
      <c r="N15" s="49"/>
      <c r="O15" s="49"/>
      <c r="P15" s="49"/>
      <c r="Q15" s="49"/>
      <c r="R15" s="49"/>
      <c r="S15" s="49"/>
      <c r="T15" s="190"/>
      <c r="V15" s="190"/>
      <c r="X15" s="190"/>
      <c r="Z15" s="190"/>
    </row>
    <row r="16" spans="1:26" ht="14.4">
      <c r="B16" s="139" t="s">
        <v>170</v>
      </c>
      <c r="C16" s="139"/>
      <c r="D16" s="191">
        <v>146</v>
      </c>
      <c r="E16" s="141" t="s">
        <v>169</v>
      </c>
      <c r="F16" s="49"/>
      <c r="H16" s="49"/>
      <c r="K16" s="49"/>
      <c r="L16" s="49"/>
      <c r="M16" s="49"/>
      <c r="N16" s="49"/>
      <c r="O16" s="49"/>
      <c r="P16" s="49"/>
      <c r="Q16" s="49"/>
      <c r="R16" s="49"/>
      <c r="S16" s="49"/>
      <c r="T16" s="190"/>
      <c r="V16" s="190"/>
      <c r="X16" s="190"/>
      <c r="Z16" s="190"/>
    </row>
    <row r="17" spans="1:26" ht="14.4">
      <c r="B17" s="139" t="s">
        <v>168</v>
      </c>
      <c r="C17" s="139"/>
      <c r="D17" s="191">
        <v>2337</v>
      </c>
      <c r="E17" s="141" t="s">
        <v>103</v>
      </c>
      <c r="F17" s="49"/>
      <c r="H17" s="49"/>
      <c r="K17" s="49"/>
      <c r="L17" s="49"/>
      <c r="M17" s="49"/>
      <c r="N17" s="49"/>
      <c r="O17" s="49"/>
      <c r="P17" s="49"/>
      <c r="Q17" s="49"/>
      <c r="R17" s="49"/>
      <c r="S17" s="49"/>
      <c r="T17" s="190"/>
      <c r="V17" s="190"/>
      <c r="X17" s="190"/>
      <c r="Z17" s="190"/>
    </row>
    <row r="18" spans="1:26" ht="14.4">
      <c r="B18" s="139" t="s">
        <v>167</v>
      </c>
      <c r="C18" s="139"/>
      <c r="D18" s="191" t="e">
        <f>IF(#REF!=1,27095983,22134200+1012466)</f>
        <v>#REF!</v>
      </c>
      <c r="E18" s="141" t="s">
        <v>166</v>
      </c>
      <c r="F18" s="49"/>
      <c r="H18" s="49"/>
      <c r="K18" s="49"/>
      <c r="L18" s="49"/>
      <c r="M18" s="49"/>
      <c r="N18" s="49"/>
      <c r="O18" s="49"/>
      <c r="P18" s="49"/>
      <c r="Q18" s="49"/>
      <c r="R18" s="49"/>
      <c r="S18" s="49"/>
      <c r="T18" s="190"/>
      <c r="V18" s="190"/>
      <c r="X18" s="190"/>
      <c r="Z18" s="190"/>
    </row>
    <row r="19" spans="1:26">
      <c r="B19" s="94"/>
      <c r="C19" s="94"/>
      <c r="D19" s="107"/>
      <c r="E19" s="141"/>
      <c r="F19" s="49"/>
      <c r="H19" s="49"/>
      <c r="K19" s="49"/>
      <c r="L19" s="49"/>
      <c r="M19" s="49"/>
      <c r="N19" s="49"/>
      <c r="O19" s="49"/>
      <c r="P19" s="188"/>
      <c r="Q19" s="49"/>
      <c r="R19" s="49"/>
      <c r="S19" s="49"/>
      <c r="Z19" s="49"/>
    </row>
    <row r="20" spans="1:26" ht="14.4">
      <c r="B20" s="94"/>
      <c r="C20" s="94"/>
      <c r="D20" s="107"/>
      <c r="E20" s="141"/>
      <c r="H20" s="49"/>
      <c r="K20" s="49"/>
      <c r="L20" s="49"/>
      <c r="M20" s="49"/>
      <c r="N20" s="49"/>
      <c r="O20" s="189"/>
      <c r="P20" s="188"/>
      <c r="Q20" s="49"/>
      <c r="R20" s="49"/>
      <c r="S20" s="49"/>
      <c r="Z20" s="49"/>
    </row>
    <row r="21" spans="1:26" ht="14.4">
      <c r="H21" s="49"/>
      <c r="K21" s="49"/>
      <c r="L21" s="49"/>
      <c r="M21" s="48"/>
      <c r="N21" s="48"/>
      <c r="O21" s="174"/>
      <c r="P21" s="48"/>
      <c r="Q21" s="48"/>
      <c r="R21" s="48"/>
      <c r="S21" s="48"/>
      <c r="Z21" s="49"/>
    </row>
    <row r="22" spans="1:26" s="87" customFormat="1" ht="14.4">
      <c r="M22" s="186"/>
      <c r="N22" s="186"/>
      <c r="O22" s="187"/>
      <c r="P22" s="186"/>
      <c r="Q22" s="186"/>
      <c r="R22" s="186"/>
      <c r="S22" s="186"/>
    </row>
    <row r="23" spans="1:26" ht="14.4">
      <c r="G23" s="49"/>
      <c r="H23" s="49"/>
      <c r="I23" s="49"/>
      <c r="J23" s="49"/>
      <c r="K23" s="185"/>
      <c r="L23" s="49"/>
      <c r="M23" s="48"/>
      <c r="N23" s="48"/>
      <c r="O23" s="174"/>
      <c r="P23" s="48"/>
      <c r="Q23" s="48"/>
      <c r="R23" s="48"/>
      <c r="S23" s="48"/>
      <c r="T23" s="49"/>
      <c r="U23" s="49"/>
      <c r="V23" s="49"/>
      <c r="W23" s="49"/>
      <c r="X23" s="49"/>
      <c r="Y23" s="49"/>
      <c r="Z23" s="49"/>
    </row>
    <row r="24" spans="1:26">
      <c r="B24" s="94" t="s">
        <v>221</v>
      </c>
      <c r="G24" s="49"/>
      <c r="H24" s="49"/>
      <c r="I24" s="49"/>
      <c r="J24" s="49"/>
      <c r="K24" s="49"/>
      <c r="L24" s="49"/>
      <c r="M24" s="48"/>
      <c r="N24" s="48"/>
      <c r="O24" s="48"/>
      <c r="P24" s="48"/>
      <c r="Q24" s="48"/>
      <c r="R24" s="48"/>
      <c r="S24" s="48"/>
      <c r="T24" s="49"/>
      <c r="U24" s="49"/>
      <c r="V24" s="49"/>
      <c r="W24" s="49"/>
      <c r="X24" s="49"/>
      <c r="Y24" s="49"/>
      <c r="Z24" s="49"/>
    </row>
    <row r="25" spans="1:26">
      <c r="D25" s="104"/>
      <c r="G25" s="49"/>
      <c r="H25" s="49"/>
      <c r="I25" s="49"/>
      <c r="J25" s="49"/>
      <c r="K25" s="49"/>
      <c r="L25" s="49"/>
      <c r="M25" s="48"/>
      <c r="N25" s="48"/>
      <c r="O25" s="48"/>
      <c r="P25" s="48"/>
      <c r="Q25" s="48"/>
      <c r="R25" s="48"/>
      <c r="S25" s="48"/>
      <c r="T25" s="49"/>
      <c r="U25" s="49"/>
      <c r="V25" s="49"/>
      <c r="W25" s="49"/>
      <c r="X25" s="49"/>
      <c r="Y25" s="49"/>
      <c r="Z25" s="49"/>
    </row>
    <row r="26" spans="1:26">
      <c r="A26" s="184" t="s">
        <v>0</v>
      </c>
      <c r="B26" s="183"/>
      <c r="C26" s="182"/>
      <c r="D26" s="176" t="s">
        <v>218</v>
      </c>
      <c r="E26" s="181" t="s">
        <v>220</v>
      </c>
      <c r="F26" s="181"/>
      <c r="K26" s="49"/>
      <c r="L26" s="49"/>
      <c r="M26" s="48"/>
      <c r="N26" s="48"/>
      <c r="O26" s="48"/>
      <c r="P26" s="48"/>
      <c r="Q26" s="48"/>
      <c r="R26" s="48"/>
      <c r="S26" s="48"/>
      <c r="T26" s="49"/>
      <c r="U26" s="49"/>
      <c r="V26" s="49"/>
      <c r="W26" s="49"/>
      <c r="X26" s="49"/>
      <c r="Y26" s="49"/>
      <c r="Z26" s="49"/>
    </row>
    <row r="27" spans="1:26">
      <c r="A27" s="180" t="s">
        <v>2</v>
      </c>
      <c r="B27" s="180"/>
      <c r="C27" s="179" t="s">
        <v>219</v>
      </c>
      <c r="D27" s="178" t="s">
        <v>81</v>
      </c>
      <c r="E27" s="178" t="s">
        <v>218</v>
      </c>
      <c r="F27" s="175"/>
      <c r="K27" s="49"/>
      <c r="M27" s="48"/>
      <c r="N27" s="48"/>
      <c r="O27" s="48"/>
      <c r="P27" s="48"/>
      <c r="Q27" s="48"/>
      <c r="R27" s="48"/>
      <c r="S27" s="48"/>
      <c r="T27" s="49"/>
      <c r="U27" s="49"/>
      <c r="V27" s="49"/>
      <c r="W27" s="49"/>
      <c r="X27" s="49"/>
      <c r="Y27" s="49"/>
      <c r="Z27" s="49"/>
    </row>
    <row r="28" spans="1:26">
      <c r="A28" s="177"/>
      <c r="B28" s="177" t="s">
        <v>4</v>
      </c>
      <c r="C28" s="177" t="s">
        <v>5</v>
      </c>
      <c r="D28" s="176" t="s">
        <v>6</v>
      </c>
      <c r="E28" s="176" t="s">
        <v>7</v>
      </c>
      <c r="F28" s="175"/>
      <c r="K28" s="49"/>
      <c r="M28" s="48"/>
      <c r="N28" s="48"/>
      <c r="O28" s="48"/>
      <c r="P28" s="48"/>
      <c r="Q28" s="48"/>
      <c r="R28" s="48"/>
      <c r="S28" s="48"/>
      <c r="T28" s="49"/>
      <c r="U28" s="49"/>
      <c r="V28" s="49"/>
      <c r="W28" s="49"/>
      <c r="X28" s="49"/>
      <c r="Y28" s="49"/>
      <c r="Z28" s="49"/>
    </row>
    <row r="29" spans="1:26">
      <c r="A29" s="167">
        <v>1</v>
      </c>
      <c r="B29" s="169" t="s">
        <v>217</v>
      </c>
      <c r="C29" s="169" t="e">
        <f>SUM(D29:E29)</f>
        <v>#REF!</v>
      </c>
      <c r="D29" s="159" t="e">
        <f>#REF!</f>
        <v>#REF!</v>
      </c>
      <c r="E29" s="159" t="e">
        <f>#REF!</f>
        <v>#REF!</v>
      </c>
      <c r="F29" s="163"/>
      <c r="G29" s="176" t="s">
        <v>218</v>
      </c>
      <c r="H29" s="181" t="s">
        <v>220</v>
      </c>
      <c r="K29" s="49"/>
      <c r="M29" s="48"/>
      <c r="N29" s="48"/>
      <c r="O29" s="48"/>
      <c r="P29" s="48"/>
      <c r="Q29" s="48"/>
      <c r="R29" s="48"/>
      <c r="S29" s="48"/>
      <c r="T29" s="49"/>
      <c r="U29" s="49"/>
      <c r="V29" s="49"/>
      <c r="W29" s="49"/>
      <c r="X29" s="49"/>
      <c r="Y29" s="49"/>
      <c r="Z29" s="49"/>
    </row>
    <row r="30" spans="1:26" ht="14.4">
      <c r="A30" s="167">
        <v>2</v>
      </c>
      <c r="B30" s="174" t="s">
        <v>216</v>
      </c>
      <c r="C30" s="169" t="e">
        <f>SUM(D30:E30)</f>
        <v>#REF!</v>
      </c>
      <c r="D30" s="159" t="e">
        <f>#REF!</f>
        <v>#REF!</v>
      </c>
      <c r="E30" s="159" t="e">
        <f>#REF!</f>
        <v>#REF!</v>
      </c>
      <c r="F30" s="163"/>
      <c r="G30" s="178" t="s">
        <v>81</v>
      </c>
      <c r="H30" s="178" t="s">
        <v>218</v>
      </c>
      <c r="K30" s="49"/>
      <c r="R30" s="49"/>
      <c r="S30" s="49"/>
      <c r="T30" s="49"/>
      <c r="U30" s="49"/>
      <c r="V30" s="49"/>
      <c r="W30" s="49"/>
      <c r="X30" s="49"/>
      <c r="Y30" s="49"/>
      <c r="Z30" s="49"/>
    </row>
    <row r="31" spans="1:26" ht="14.4">
      <c r="A31" s="167"/>
      <c r="B31" s="174"/>
      <c r="C31" s="169"/>
      <c r="D31" s="159"/>
      <c r="E31" s="159"/>
      <c r="F31" s="163"/>
      <c r="G31" s="173"/>
      <c r="K31" s="49"/>
      <c r="R31" s="49"/>
      <c r="S31" s="49"/>
      <c r="T31" s="49"/>
      <c r="U31" s="49"/>
      <c r="V31" s="49"/>
      <c r="W31" s="49"/>
      <c r="X31" s="49"/>
      <c r="Y31" s="49"/>
      <c r="Z31" s="49"/>
    </row>
    <row r="32" spans="1:26">
      <c r="A32" s="167">
        <v>3</v>
      </c>
      <c r="B32" s="169" t="s">
        <v>215</v>
      </c>
      <c r="C32" s="164" t="e">
        <f>#REF!</f>
        <v>#REF!</v>
      </c>
      <c r="D32" s="164" t="e">
        <f>$C$32*G32</f>
        <v>#REF!</v>
      </c>
      <c r="E32" s="164" t="e">
        <f>$C$32*H32</f>
        <v>#REF!</v>
      </c>
      <c r="F32" s="163"/>
      <c r="G32" s="265" t="e">
        <f>#REF!</f>
        <v>#REF!</v>
      </c>
      <c r="H32" s="265" t="e">
        <f>#REF!</f>
        <v>#REF!</v>
      </c>
      <c r="K32" s="49"/>
      <c r="R32" s="49"/>
      <c r="S32" s="49"/>
      <c r="T32" s="49"/>
      <c r="U32" s="49"/>
      <c r="V32" s="49"/>
      <c r="W32" s="49"/>
      <c r="X32" s="49"/>
      <c r="Y32" s="49"/>
      <c r="Z32" s="49"/>
    </row>
    <row r="33" spans="1:26">
      <c r="B33" s="166"/>
      <c r="C33" s="172"/>
      <c r="D33" s="171"/>
      <c r="E33" s="171"/>
      <c r="F33" s="16"/>
      <c r="G33" s="9"/>
      <c r="H33" s="9"/>
      <c r="I33" s="121"/>
      <c r="K33" s="49"/>
      <c r="R33" s="49"/>
      <c r="S33" s="49"/>
      <c r="T33" s="49"/>
      <c r="U33" s="49"/>
      <c r="V33" s="49"/>
      <c r="W33" s="49"/>
      <c r="X33" s="49"/>
      <c r="Y33" s="49"/>
      <c r="Z33" s="49"/>
    </row>
    <row r="34" spans="1:26">
      <c r="A34" s="167"/>
      <c r="B34" s="170"/>
      <c r="C34" s="169"/>
      <c r="D34" s="169"/>
      <c r="E34" s="169"/>
      <c r="F34" s="163"/>
      <c r="G34" s="9"/>
      <c r="H34" s="9"/>
      <c r="K34" s="49"/>
      <c r="R34" s="49"/>
      <c r="S34" s="49"/>
      <c r="T34" s="49"/>
      <c r="U34" s="49"/>
      <c r="V34" s="49"/>
      <c r="W34" s="49"/>
      <c r="X34" s="49"/>
      <c r="Y34" s="49"/>
      <c r="Z34" s="49"/>
    </row>
    <row r="35" spans="1:26">
      <c r="A35" s="167"/>
      <c r="B35" s="166" t="s">
        <v>262</v>
      </c>
      <c r="C35" s="168" t="e">
        <f>#REF!*-1000</f>
        <v>#REF!</v>
      </c>
      <c r="D35" s="168" t="e">
        <f>$C$35*G35</f>
        <v>#REF!</v>
      </c>
      <c r="E35" s="168" t="e">
        <f>$C$35*H35</f>
        <v>#REF!</v>
      </c>
      <c r="F35" s="163"/>
      <c r="G35" s="265" t="e">
        <f>G32</f>
        <v>#REF!</v>
      </c>
      <c r="H35" s="265" t="e">
        <f>H32</f>
        <v>#REF!</v>
      </c>
      <c r="K35" s="49"/>
      <c r="R35" s="49"/>
      <c r="S35" s="49"/>
      <c r="T35" s="49"/>
      <c r="U35" s="49"/>
      <c r="V35" s="49"/>
      <c r="W35" s="49"/>
      <c r="X35" s="49"/>
      <c r="Y35" s="49"/>
      <c r="Z35" s="49"/>
    </row>
    <row r="36" spans="1:26">
      <c r="A36" s="167"/>
      <c r="B36" s="166" t="s">
        <v>261</v>
      </c>
      <c r="C36" s="165" t="e">
        <f>C32+C35</f>
        <v>#REF!</v>
      </c>
      <c r="D36" s="164" t="e">
        <f>D35+D32</f>
        <v>#REF!</v>
      </c>
      <c r="E36" s="164" t="e">
        <f>E35+E32</f>
        <v>#REF!</v>
      </c>
      <c r="F36" s="163"/>
      <c r="K36" s="49"/>
      <c r="R36" s="49"/>
      <c r="S36" s="49"/>
      <c r="T36" s="49"/>
      <c r="U36" s="49"/>
      <c r="V36" s="49"/>
      <c r="W36" s="49"/>
      <c r="X36" s="49"/>
      <c r="Y36" s="49"/>
      <c r="Z36" s="49"/>
    </row>
    <row r="37" spans="1:26">
      <c r="I37" s="162"/>
      <c r="K37" s="49"/>
      <c r="R37" s="49"/>
      <c r="S37" s="49"/>
      <c r="T37" s="49"/>
      <c r="U37" s="49"/>
      <c r="V37" s="49"/>
      <c r="W37" s="49"/>
      <c r="X37" s="49"/>
      <c r="Y37" s="49"/>
      <c r="Z37" s="49"/>
    </row>
    <row r="38" spans="1:26">
      <c r="I38" s="162"/>
      <c r="K38" s="49"/>
      <c r="R38" s="49"/>
      <c r="S38" s="49"/>
      <c r="T38" s="49"/>
      <c r="U38" s="49"/>
      <c r="V38" s="49"/>
      <c r="W38" s="49"/>
      <c r="X38" s="49"/>
      <c r="Y38" s="49"/>
      <c r="Z38" s="49"/>
    </row>
    <row r="39" spans="1:26">
      <c r="B39" s="161" t="s">
        <v>214</v>
      </c>
      <c r="C39" s="13" t="s">
        <v>209</v>
      </c>
      <c r="D39" s="132" t="e">
        <f>(D29+D30)</f>
        <v>#REF!</v>
      </c>
      <c r="E39" s="49" t="s">
        <v>213</v>
      </c>
      <c r="K39" s="49"/>
      <c r="R39" s="49"/>
      <c r="S39" s="49"/>
      <c r="T39" s="49"/>
      <c r="U39" s="49"/>
      <c r="V39" s="49"/>
      <c r="W39" s="49"/>
      <c r="X39" s="49"/>
      <c r="Y39" s="49"/>
      <c r="Z39" s="49"/>
    </row>
    <row r="40" spans="1:26" ht="27.6">
      <c r="B40" s="161" t="s">
        <v>212</v>
      </c>
      <c r="C40" s="13" t="s">
        <v>209</v>
      </c>
      <c r="D40" s="132" t="e">
        <f>D35*(D39/D32)</f>
        <v>#REF!</v>
      </c>
      <c r="E40" s="13" t="s">
        <v>211</v>
      </c>
      <c r="K40" s="49"/>
      <c r="R40" s="49"/>
      <c r="S40" s="49"/>
      <c r="T40" s="49"/>
      <c r="U40" s="49"/>
      <c r="V40" s="49"/>
      <c r="W40" s="49"/>
      <c r="X40" s="49"/>
      <c r="Y40" s="49"/>
      <c r="Z40" s="49"/>
    </row>
    <row r="41" spans="1:26" ht="28.2" thickBot="1">
      <c r="B41" s="161" t="s">
        <v>210</v>
      </c>
      <c r="C41" s="13" t="s">
        <v>209</v>
      </c>
      <c r="D41" s="160" t="e">
        <f>D39+D40</f>
        <v>#REF!</v>
      </c>
      <c r="E41" s="13" t="s">
        <v>208</v>
      </c>
      <c r="K41" s="49"/>
      <c r="R41" s="49"/>
      <c r="S41" s="49"/>
      <c r="T41" s="49"/>
      <c r="U41" s="49"/>
      <c r="V41" s="49"/>
      <c r="W41" s="49"/>
      <c r="X41" s="49"/>
      <c r="Y41" s="49"/>
      <c r="Z41" s="49"/>
    </row>
    <row r="42" spans="1:26" ht="14.4" thickTop="1">
      <c r="B42" s="49"/>
      <c r="C42" s="49"/>
      <c r="D42" s="49"/>
      <c r="E42" s="49"/>
      <c r="F42" s="49"/>
      <c r="G42" s="49"/>
      <c r="H42" s="49"/>
      <c r="K42" s="49"/>
      <c r="R42" s="49"/>
      <c r="S42" s="49"/>
      <c r="T42" s="49"/>
      <c r="U42" s="49"/>
      <c r="V42" s="49"/>
      <c r="W42" s="49"/>
      <c r="X42" s="49"/>
      <c r="Y42" s="49"/>
      <c r="Z42" s="49"/>
    </row>
    <row r="43" spans="1:26">
      <c r="B43" s="13" t="s">
        <v>207</v>
      </c>
      <c r="C43" s="49" t="s">
        <v>206</v>
      </c>
      <c r="D43" s="159" t="e">
        <f>#REF!</f>
        <v>#REF!</v>
      </c>
      <c r="E43" s="49" t="s">
        <v>205</v>
      </c>
      <c r="F43" s="49"/>
      <c r="G43" s="49"/>
      <c r="H43" s="49"/>
      <c r="K43" s="49"/>
      <c r="R43" s="49"/>
      <c r="S43" s="49"/>
      <c r="T43" s="49"/>
      <c r="U43" s="49"/>
      <c r="V43" s="49"/>
      <c r="W43" s="49"/>
      <c r="X43" s="49"/>
      <c r="Y43" s="49"/>
      <c r="Z43" s="49"/>
    </row>
    <row r="44" spans="1:26" ht="14.4" thickBot="1">
      <c r="K44" s="49"/>
      <c r="R44" s="49"/>
      <c r="S44" s="49"/>
      <c r="T44" s="49"/>
      <c r="U44" s="49"/>
      <c r="V44" s="49"/>
      <c r="W44" s="49"/>
      <c r="X44" s="49"/>
      <c r="Y44" s="49"/>
      <c r="Z44" s="49"/>
    </row>
    <row r="45" spans="1:26" ht="14.4" thickBot="1">
      <c r="B45" s="13" t="s">
        <v>135</v>
      </c>
      <c r="C45" s="13" t="s">
        <v>97</v>
      </c>
      <c r="D45" s="158" t="e">
        <f>D41/(D43*365)</f>
        <v>#REF!</v>
      </c>
      <c r="E45" s="49" t="s">
        <v>204</v>
      </c>
      <c r="K45" s="49"/>
      <c r="R45" s="49"/>
      <c r="S45" s="49"/>
      <c r="T45" s="49"/>
      <c r="U45" s="49"/>
      <c r="V45" s="49"/>
      <c r="W45" s="49"/>
      <c r="X45" s="49"/>
      <c r="Y45" s="49"/>
      <c r="Z45" s="49"/>
    </row>
    <row r="46" spans="1:26">
      <c r="K46" s="49"/>
      <c r="R46" s="49"/>
      <c r="S46" s="49"/>
      <c r="T46" s="49"/>
      <c r="U46" s="49"/>
      <c r="V46" s="49"/>
      <c r="W46" s="49"/>
      <c r="X46" s="49"/>
      <c r="Y46" s="49"/>
      <c r="Z46" s="49"/>
    </row>
    <row r="47" spans="1:26" s="87" customFormat="1"/>
    <row r="48" spans="1:26">
      <c r="A48" s="49"/>
      <c r="B48" s="150" t="s">
        <v>203</v>
      </c>
      <c r="K48" s="49"/>
    </row>
    <row r="49" spans="1:11">
      <c r="A49" s="49"/>
      <c r="B49" s="157"/>
      <c r="J49" s="156" t="s">
        <v>202</v>
      </c>
      <c r="K49" s="49"/>
    </row>
    <row r="50" spans="1:11">
      <c r="A50" s="49"/>
      <c r="B50" s="150" t="s">
        <v>201</v>
      </c>
      <c r="K50" s="49"/>
    </row>
    <row r="51" spans="1:11">
      <c r="A51" s="49"/>
      <c r="K51" s="49"/>
    </row>
    <row r="52" spans="1:11" ht="66">
      <c r="A52" s="49"/>
      <c r="B52" s="149"/>
      <c r="C52" s="148"/>
      <c r="D52" s="148" t="s">
        <v>200</v>
      </c>
      <c r="E52" s="148" t="s">
        <v>199</v>
      </c>
      <c r="F52" s="148" t="s">
        <v>198</v>
      </c>
      <c r="G52" s="148" t="s">
        <v>197</v>
      </c>
      <c r="H52" s="16"/>
      <c r="K52" s="49"/>
    </row>
    <row r="53" spans="1:11">
      <c r="A53" s="49"/>
      <c r="B53" s="149"/>
      <c r="C53" s="148"/>
      <c r="D53" s="148"/>
      <c r="E53" s="148"/>
      <c r="F53" s="148"/>
      <c r="G53" s="148"/>
      <c r="K53" s="49"/>
    </row>
    <row r="54" spans="1:11">
      <c r="A54" s="49"/>
      <c r="B54" s="147" t="s">
        <v>113</v>
      </c>
      <c r="C54" s="147" t="s">
        <v>112</v>
      </c>
      <c r="D54" s="472" t="s">
        <v>196</v>
      </c>
      <c r="E54" s="472"/>
      <c r="F54" s="472"/>
      <c r="G54" s="472"/>
      <c r="H54" s="94"/>
      <c r="J54" s="105" t="s">
        <v>178</v>
      </c>
      <c r="K54" s="49"/>
    </row>
    <row r="55" spans="1:11">
      <c r="A55" s="49"/>
      <c r="B55" s="145" t="s">
        <v>107</v>
      </c>
      <c r="C55" s="145" t="s">
        <v>106</v>
      </c>
      <c r="D55" s="145"/>
      <c r="E55" s="145"/>
      <c r="F55" s="145"/>
      <c r="G55" s="145"/>
      <c r="I55" s="144" t="s">
        <v>177</v>
      </c>
      <c r="J55" s="144" t="s">
        <v>176</v>
      </c>
      <c r="K55" s="49"/>
    </row>
    <row r="56" spans="1:11">
      <c r="A56" s="49"/>
      <c r="B56" s="145"/>
      <c r="C56" s="145"/>
      <c r="D56" s="145"/>
      <c r="E56" s="145"/>
      <c r="F56" s="145"/>
      <c r="G56" s="145"/>
      <c r="I56" s="144"/>
      <c r="J56" s="144"/>
      <c r="K56" s="49"/>
    </row>
    <row r="57" spans="1:11">
      <c r="A57" s="49"/>
      <c r="B57" s="473">
        <v>50</v>
      </c>
      <c r="C57" s="145">
        <v>50</v>
      </c>
      <c r="D57" s="143">
        <v>0</v>
      </c>
      <c r="E57" s="143">
        <v>1</v>
      </c>
      <c r="F57" s="143">
        <v>0</v>
      </c>
      <c r="G57" s="143">
        <v>0</v>
      </c>
      <c r="I57" s="155">
        <f t="shared" ref="I57:I74" si="0">D57*7+E57*2</f>
        <v>2</v>
      </c>
      <c r="J57" s="155">
        <f t="shared" ref="J57:J74" si="1">F57*12.8+G57*13.8</f>
        <v>0</v>
      </c>
      <c r="K57" s="49"/>
    </row>
    <row r="58" spans="1:11">
      <c r="A58" s="49"/>
      <c r="B58" s="473"/>
      <c r="C58" s="145">
        <v>100</v>
      </c>
      <c r="D58" s="143">
        <v>1</v>
      </c>
      <c r="E58" s="143">
        <v>0</v>
      </c>
      <c r="F58" s="143">
        <v>0.06</v>
      </c>
      <c r="G58" s="143">
        <v>0</v>
      </c>
      <c r="I58" s="155">
        <f t="shared" si="0"/>
        <v>7</v>
      </c>
      <c r="J58" s="155">
        <f t="shared" si="1"/>
        <v>0.76800000000000002</v>
      </c>
      <c r="K58" s="49"/>
    </row>
    <row r="59" spans="1:11">
      <c r="A59" s="49"/>
      <c r="B59" s="473"/>
      <c r="C59" s="145">
        <v>150</v>
      </c>
      <c r="D59" s="143">
        <v>1</v>
      </c>
      <c r="E59" s="143">
        <v>0</v>
      </c>
      <c r="F59" s="143">
        <v>0.19</v>
      </c>
      <c r="G59" s="143">
        <v>0</v>
      </c>
      <c r="I59" s="155">
        <f t="shared" si="0"/>
        <v>7</v>
      </c>
      <c r="J59" s="155">
        <f t="shared" si="1"/>
        <v>2.4320000000000004</v>
      </c>
      <c r="K59" s="49"/>
    </row>
    <row r="60" spans="1:11">
      <c r="A60" s="49"/>
      <c r="B60" s="473"/>
      <c r="C60" s="145">
        <v>200</v>
      </c>
      <c r="D60" s="143">
        <v>1</v>
      </c>
      <c r="E60" s="143">
        <v>0</v>
      </c>
      <c r="F60" s="143">
        <v>0.35</v>
      </c>
      <c r="G60" s="143">
        <v>0</v>
      </c>
      <c r="I60" s="155">
        <f t="shared" si="0"/>
        <v>7</v>
      </c>
      <c r="J60" s="155">
        <f t="shared" si="1"/>
        <v>4.4799999999999995</v>
      </c>
      <c r="K60" s="49"/>
    </row>
    <row r="61" spans="1:11">
      <c r="A61" s="49"/>
      <c r="B61" s="473"/>
      <c r="C61" s="145">
        <v>250</v>
      </c>
      <c r="D61" s="143">
        <v>1</v>
      </c>
      <c r="E61" s="143">
        <v>0</v>
      </c>
      <c r="F61" s="143">
        <v>0.61</v>
      </c>
      <c r="G61" s="143">
        <v>0</v>
      </c>
      <c r="I61" s="155">
        <f t="shared" si="0"/>
        <v>7</v>
      </c>
      <c r="J61" s="155">
        <f t="shared" si="1"/>
        <v>7.8079999999999998</v>
      </c>
      <c r="K61" s="49"/>
    </row>
    <row r="62" spans="1:11">
      <c r="A62" s="49"/>
      <c r="B62" s="473"/>
      <c r="C62" s="145">
        <v>300</v>
      </c>
      <c r="D62" s="143">
        <v>1</v>
      </c>
      <c r="E62" s="143">
        <v>0</v>
      </c>
      <c r="F62" s="143">
        <v>1</v>
      </c>
      <c r="G62" s="143">
        <v>0.01</v>
      </c>
      <c r="I62" s="155">
        <f t="shared" si="0"/>
        <v>7</v>
      </c>
      <c r="J62" s="155">
        <f t="shared" si="1"/>
        <v>12.938000000000001</v>
      </c>
      <c r="K62" s="49"/>
    </row>
    <row r="63" spans="1:11">
      <c r="A63" s="49"/>
      <c r="B63" s="473">
        <v>100</v>
      </c>
      <c r="C63" s="145">
        <v>100</v>
      </c>
      <c r="D63" s="143">
        <v>1</v>
      </c>
      <c r="E63" s="143">
        <v>0</v>
      </c>
      <c r="F63" s="143">
        <v>0.06</v>
      </c>
      <c r="G63" s="143">
        <v>0</v>
      </c>
      <c r="I63" s="155">
        <f t="shared" si="0"/>
        <v>7</v>
      </c>
      <c r="J63" s="155">
        <f t="shared" si="1"/>
        <v>0.76800000000000002</v>
      </c>
      <c r="K63" s="49"/>
    </row>
    <row r="64" spans="1:11">
      <c r="A64" s="49"/>
      <c r="B64" s="473"/>
      <c r="C64" s="145">
        <v>150</v>
      </c>
      <c r="D64" s="143">
        <v>1</v>
      </c>
      <c r="E64" s="143">
        <v>0</v>
      </c>
      <c r="F64" s="143">
        <v>0.2</v>
      </c>
      <c r="G64" s="143">
        <v>0</v>
      </c>
      <c r="I64" s="155">
        <f t="shared" si="0"/>
        <v>7</v>
      </c>
      <c r="J64" s="155">
        <f t="shared" si="1"/>
        <v>2.5600000000000005</v>
      </c>
      <c r="K64" s="49"/>
    </row>
    <row r="65" spans="1:11">
      <c r="A65" s="49"/>
      <c r="B65" s="473"/>
      <c r="C65" s="145">
        <v>200</v>
      </c>
      <c r="D65" s="143">
        <v>1</v>
      </c>
      <c r="E65" s="143">
        <v>0</v>
      </c>
      <c r="F65" s="143">
        <v>0.4</v>
      </c>
      <c r="G65" s="143">
        <v>0</v>
      </c>
      <c r="I65" s="155">
        <f t="shared" si="0"/>
        <v>7</v>
      </c>
      <c r="J65" s="155">
        <f t="shared" si="1"/>
        <v>5.120000000000001</v>
      </c>
      <c r="K65" s="49"/>
    </row>
    <row r="66" spans="1:11">
      <c r="A66" s="49"/>
      <c r="B66" s="473"/>
      <c r="C66" s="145">
        <v>250</v>
      </c>
      <c r="D66" s="143">
        <v>1</v>
      </c>
      <c r="E66" s="143">
        <v>0</v>
      </c>
      <c r="F66" s="143">
        <v>0.78</v>
      </c>
      <c r="G66" s="143">
        <v>0</v>
      </c>
      <c r="I66" s="155">
        <f t="shared" si="0"/>
        <v>7</v>
      </c>
      <c r="J66" s="155">
        <f t="shared" si="1"/>
        <v>9.9840000000000018</v>
      </c>
      <c r="K66" s="49"/>
    </row>
    <row r="67" spans="1:11">
      <c r="A67" s="49"/>
      <c r="B67" s="473"/>
      <c r="C67" s="145">
        <v>300</v>
      </c>
      <c r="D67" s="143">
        <v>1</v>
      </c>
      <c r="E67" s="143">
        <v>0</v>
      </c>
      <c r="F67" s="143">
        <v>1</v>
      </c>
      <c r="G67" s="143">
        <v>0.05</v>
      </c>
      <c r="I67" s="155">
        <f t="shared" si="0"/>
        <v>7</v>
      </c>
      <c r="J67" s="155">
        <f t="shared" si="1"/>
        <v>13.49</v>
      </c>
      <c r="K67" s="49"/>
    </row>
    <row r="68" spans="1:11">
      <c r="A68" s="49"/>
      <c r="B68" s="473">
        <v>150</v>
      </c>
      <c r="C68" s="145">
        <v>150</v>
      </c>
      <c r="D68" s="143">
        <v>1</v>
      </c>
      <c r="E68" s="143">
        <v>0</v>
      </c>
      <c r="F68" s="143">
        <v>0.2</v>
      </c>
      <c r="G68" s="143">
        <v>0</v>
      </c>
      <c r="I68" s="155">
        <f t="shared" si="0"/>
        <v>7</v>
      </c>
      <c r="J68" s="155">
        <f t="shared" si="1"/>
        <v>2.5600000000000005</v>
      </c>
      <c r="K68" s="49"/>
    </row>
    <row r="69" spans="1:11">
      <c r="A69" s="49"/>
      <c r="B69" s="473"/>
      <c r="C69" s="145">
        <v>200</v>
      </c>
      <c r="D69" s="143">
        <v>1</v>
      </c>
      <c r="E69" s="143">
        <v>0</v>
      </c>
      <c r="F69" s="143">
        <v>0.4</v>
      </c>
      <c r="G69" s="143">
        <v>0</v>
      </c>
      <c r="I69" s="155">
        <f t="shared" si="0"/>
        <v>7</v>
      </c>
      <c r="J69" s="155">
        <f t="shared" si="1"/>
        <v>5.120000000000001</v>
      </c>
      <c r="K69" s="49"/>
    </row>
    <row r="70" spans="1:11">
      <c r="A70" s="49"/>
      <c r="B70" s="473"/>
      <c r="C70" s="145">
        <v>250</v>
      </c>
      <c r="D70" s="143">
        <v>1</v>
      </c>
      <c r="E70" s="143">
        <v>0</v>
      </c>
      <c r="F70" s="143">
        <v>0.82</v>
      </c>
      <c r="G70" s="143">
        <v>0</v>
      </c>
      <c r="I70" s="155">
        <f t="shared" si="0"/>
        <v>7</v>
      </c>
      <c r="J70" s="155">
        <f t="shared" si="1"/>
        <v>10.496</v>
      </c>
      <c r="K70" s="49"/>
    </row>
    <row r="71" spans="1:11">
      <c r="A71" s="49"/>
      <c r="B71" s="473"/>
      <c r="C71" s="145">
        <v>300</v>
      </c>
      <c r="D71" s="143">
        <v>1</v>
      </c>
      <c r="E71" s="143">
        <v>0</v>
      </c>
      <c r="F71" s="143">
        <v>1</v>
      </c>
      <c r="G71" s="143">
        <v>0.06</v>
      </c>
      <c r="I71" s="155">
        <f t="shared" si="0"/>
        <v>7</v>
      </c>
      <c r="J71" s="155">
        <f t="shared" si="1"/>
        <v>13.628</v>
      </c>
      <c r="K71" s="49"/>
    </row>
    <row r="72" spans="1:11">
      <c r="A72" s="49"/>
      <c r="B72" s="473">
        <v>200</v>
      </c>
      <c r="C72" s="145">
        <v>200</v>
      </c>
      <c r="D72" s="143">
        <v>1</v>
      </c>
      <c r="E72" s="143">
        <v>0</v>
      </c>
      <c r="F72" s="143">
        <v>0.4</v>
      </c>
      <c r="G72" s="143">
        <v>0</v>
      </c>
      <c r="I72" s="155">
        <f t="shared" si="0"/>
        <v>7</v>
      </c>
      <c r="J72" s="155">
        <f t="shared" si="1"/>
        <v>5.120000000000001</v>
      </c>
      <c r="K72" s="49"/>
    </row>
    <row r="73" spans="1:11">
      <c r="A73" s="49"/>
      <c r="B73" s="473"/>
      <c r="C73" s="145">
        <v>250</v>
      </c>
      <c r="D73" s="143">
        <v>1</v>
      </c>
      <c r="E73" s="143">
        <v>0</v>
      </c>
      <c r="F73" s="143">
        <v>0.82</v>
      </c>
      <c r="G73" s="143">
        <v>0</v>
      </c>
      <c r="I73" s="155">
        <f t="shared" si="0"/>
        <v>7</v>
      </c>
      <c r="J73" s="155">
        <f t="shared" si="1"/>
        <v>10.496</v>
      </c>
      <c r="K73" s="49"/>
    </row>
    <row r="74" spans="1:11">
      <c r="A74" s="49"/>
      <c r="B74" s="473"/>
      <c r="C74" s="145">
        <v>300</v>
      </c>
      <c r="D74" s="143">
        <v>1</v>
      </c>
      <c r="E74" s="143">
        <v>0</v>
      </c>
      <c r="F74" s="143">
        <v>1</v>
      </c>
      <c r="G74" s="143">
        <v>7.0000000000000007E-2</v>
      </c>
      <c r="I74" s="155">
        <f t="shared" si="0"/>
        <v>7</v>
      </c>
      <c r="J74" s="155">
        <f t="shared" si="1"/>
        <v>13.766000000000002</v>
      </c>
      <c r="K74" s="49"/>
    </row>
    <row r="75" spans="1:11">
      <c r="A75" s="49"/>
      <c r="B75" s="49"/>
      <c r="C75" s="49"/>
      <c r="D75" s="49"/>
      <c r="E75" s="49"/>
      <c r="F75" s="49"/>
      <c r="G75" s="49"/>
      <c r="K75" s="49"/>
    </row>
    <row r="76" spans="1:11">
      <c r="A76" s="49"/>
      <c r="B76" s="150" t="s">
        <v>195</v>
      </c>
      <c r="I76" s="49"/>
      <c r="J76" s="49"/>
      <c r="K76" s="49"/>
    </row>
    <row r="77" spans="1:11">
      <c r="A77" s="49"/>
      <c r="B77" s="150"/>
      <c r="K77" s="49"/>
    </row>
    <row r="78" spans="1:11">
      <c r="A78" s="49"/>
      <c r="B78" s="145" t="s">
        <v>194</v>
      </c>
      <c r="C78" s="154" t="s">
        <v>193</v>
      </c>
      <c r="D78" s="154" t="s">
        <v>192</v>
      </c>
      <c r="E78" s="154" t="s">
        <v>191</v>
      </c>
      <c r="F78" s="144" t="s">
        <v>190</v>
      </c>
      <c r="K78" s="49"/>
    </row>
    <row r="79" spans="1:11">
      <c r="A79" s="49"/>
      <c r="B79" s="145" t="s">
        <v>107</v>
      </c>
      <c r="C79" s="16"/>
      <c r="D79" s="16"/>
      <c r="E79" s="16"/>
      <c r="F79" s="153" t="s">
        <v>189</v>
      </c>
      <c r="K79" s="49"/>
    </row>
    <row r="80" spans="1:11">
      <c r="A80" s="49"/>
      <c r="B80" s="145"/>
      <c r="C80" s="16"/>
      <c r="D80" s="16"/>
      <c r="E80" s="16"/>
      <c r="F80" s="48"/>
      <c r="K80" s="49"/>
    </row>
    <row r="81" spans="1:11">
      <c r="A81" s="49"/>
      <c r="B81" s="145">
        <v>50</v>
      </c>
      <c r="C81" s="145">
        <v>24</v>
      </c>
      <c r="D81" s="145" t="s">
        <v>186</v>
      </c>
      <c r="E81" s="145" t="s">
        <v>185</v>
      </c>
      <c r="F81" s="145">
        <v>20.100000000000001</v>
      </c>
      <c r="K81" s="49"/>
    </row>
    <row r="82" spans="1:11">
      <c r="A82" s="49"/>
      <c r="B82" s="145"/>
      <c r="C82" s="145">
        <v>36</v>
      </c>
      <c r="D82" s="145" t="s">
        <v>183</v>
      </c>
      <c r="E82" s="145" t="s">
        <v>188</v>
      </c>
      <c r="F82" s="145">
        <v>25.3</v>
      </c>
      <c r="K82" s="49"/>
    </row>
    <row r="83" spans="1:11" ht="14.4" thickBot="1">
      <c r="A83" s="49"/>
      <c r="B83" s="145"/>
      <c r="C83" s="145"/>
      <c r="D83" s="145"/>
      <c r="E83" s="145"/>
      <c r="F83" s="152">
        <f>F82+F81</f>
        <v>45.400000000000006</v>
      </c>
      <c r="K83" s="49"/>
    </row>
    <row r="84" spans="1:11">
      <c r="A84" s="49"/>
      <c r="B84" s="145"/>
      <c r="C84" s="145"/>
      <c r="D84" s="145"/>
      <c r="E84" s="145"/>
      <c r="F84" s="145"/>
      <c r="K84" s="49"/>
    </row>
    <row r="85" spans="1:11">
      <c r="A85" s="49"/>
      <c r="B85" s="145">
        <v>100</v>
      </c>
      <c r="C85" s="145">
        <v>24</v>
      </c>
      <c r="D85" s="145" t="s">
        <v>186</v>
      </c>
      <c r="E85" s="145" t="s">
        <v>185</v>
      </c>
      <c r="F85" s="145">
        <v>20.100000000000001</v>
      </c>
      <c r="K85" s="49"/>
    </row>
    <row r="86" spans="1:11">
      <c r="A86" s="49"/>
      <c r="B86" s="145"/>
      <c r="C86" s="145">
        <v>36</v>
      </c>
      <c r="D86" s="145" t="s">
        <v>183</v>
      </c>
      <c r="E86" s="145" t="s">
        <v>188</v>
      </c>
      <c r="F86" s="145">
        <v>25.3</v>
      </c>
      <c r="K86" s="49"/>
    </row>
    <row r="87" spans="1:11">
      <c r="A87" s="49"/>
      <c r="B87" s="145"/>
      <c r="C87" s="145">
        <v>36</v>
      </c>
      <c r="D87" s="145" t="s">
        <v>187</v>
      </c>
      <c r="E87" s="145" t="s">
        <v>182</v>
      </c>
      <c r="F87" s="145">
        <v>32.799999999999997</v>
      </c>
      <c r="K87" s="49"/>
    </row>
    <row r="88" spans="1:11" ht="14.4" thickBot="1">
      <c r="A88" s="49"/>
      <c r="B88" s="145"/>
      <c r="C88" s="145"/>
      <c r="D88" s="145"/>
      <c r="E88" s="145"/>
      <c r="F88" s="152">
        <f>SUM(F85:F87)</f>
        <v>78.2</v>
      </c>
      <c r="K88" s="49"/>
    </row>
    <row r="89" spans="1:11">
      <c r="A89" s="49"/>
      <c r="B89" s="145"/>
      <c r="C89" s="145"/>
      <c r="D89" s="145"/>
      <c r="E89" s="145"/>
      <c r="F89" s="145"/>
      <c r="K89" s="49"/>
    </row>
    <row r="90" spans="1:11">
      <c r="A90" s="49"/>
      <c r="B90" s="145">
        <v>150</v>
      </c>
      <c r="C90" s="145">
        <v>36</v>
      </c>
      <c r="D90" s="145" t="s">
        <v>186</v>
      </c>
      <c r="E90" s="145" t="s">
        <v>185</v>
      </c>
      <c r="F90" s="145">
        <v>20.100000000000001</v>
      </c>
      <c r="K90" s="49"/>
    </row>
    <row r="91" spans="1:11">
      <c r="A91" s="49"/>
      <c r="B91" s="145"/>
      <c r="C91" s="145">
        <v>36</v>
      </c>
      <c r="D91" s="145" t="s">
        <v>183</v>
      </c>
      <c r="E91" s="145" t="s">
        <v>184</v>
      </c>
      <c r="F91" s="145">
        <v>103.3</v>
      </c>
      <c r="K91" s="49"/>
    </row>
    <row r="92" spans="1:11" ht="14.4" thickBot="1">
      <c r="A92" s="49"/>
      <c r="B92" s="145"/>
      <c r="C92" s="145"/>
      <c r="D92" s="145"/>
      <c r="E92" s="145"/>
      <c r="F92" s="152">
        <f>F91+F90</f>
        <v>123.4</v>
      </c>
      <c r="K92" s="49"/>
    </row>
    <row r="93" spans="1:11">
      <c r="A93" s="49"/>
      <c r="B93" s="145"/>
      <c r="C93" s="145"/>
      <c r="D93" s="145"/>
      <c r="E93" s="145"/>
      <c r="F93" s="145"/>
      <c r="K93" s="49"/>
    </row>
    <row r="94" spans="1:11">
      <c r="A94" s="49"/>
      <c r="B94" s="145">
        <v>200</v>
      </c>
      <c r="C94" s="145">
        <v>42</v>
      </c>
      <c r="D94" s="145" t="s">
        <v>186</v>
      </c>
      <c r="E94" s="145" t="s">
        <v>185</v>
      </c>
      <c r="F94" s="145">
        <v>20.100000000000001</v>
      </c>
      <c r="K94" s="49"/>
    </row>
    <row r="95" spans="1:11">
      <c r="A95" s="49"/>
      <c r="B95" s="16"/>
      <c r="C95" s="145">
        <v>42</v>
      </c>
      <c r="D95" s="145" t="s">
        <v>182</v>
      </c>
      <c r="E95" s="145" t="s">
        <v>184</v>
      </c>
      <c r="F95" s="145">
        <v>32.700000000000003</v>
      </c>
      <c r="K95" s="49"/>
    </row>
    <row r="96" spans="1:11">
      <c r="A96" s="49"/>
      <c r="C96" s="145">
        <v>48</v>
      </c>
      <c r="D96" s="145" t="s">
        <v>183</v>
      </c>
      <c r="E96" s="145" t="s">
        <v>182</v>
      </c>
      <c r="F96" s="145">
        <v>70.7</v>
      </c>
      <c r="K96" s="49"/>
    </row>
    <row r="97" spans="1:11" ht="14.4" thickBot="1">
      <c r="A97" s="49"/>
      <c r="F97" s="152">
        <f>F96+F95+F94</f>
        <v>123.5</v>
      </c>
      <c r="K97" s="49"/>
    </row>
    <row r="98" spans="1:11">
      <c r="A98" s="49"/>
      <c r="K98" s="49"/>
    </row>
    <row r="99" spans="1:11">
      <c r="A99" s="49"/>
      <c r="B99" s="151"/>
      <c r="C99" s="151"/>
      <c r="D99" s="151"/>
      <c r="E99" s="151"/>
      <c r="F99" s="151"/>
      <c r="G99" s="151"/>
      <c r="H99" s="151"/>
      <c r="K99" s="49"/>
    </row>
    <row r="100" spans="1:11">
      <c r="A100" s="49"/>
      <c r="I100" s="16"/>
      <c r="J100" s="16"/>
      <c r="K100" s="49"/>
    </row>
    <row r="101" spans="1:11">
      <c r="A101" s="49"/>
      <c r="B101" s="150" t="s">
        <v>181</v>
      </c>
      <c r="I101" s="16"/>
      <c r="J101" s="16"/>
      <c r="K101" s="49"/>
    </row>
    <row r="102" spans="1:11">
      <c r="A102" s="49"/>
      <c r="B102" s="150"/>
      <c r="K102" s="49"/>
    </row>
    <row r="103" spans="1:11" ht="52.8">
      <c r="A103" s="49"/>
      <c r="B103" s="149"/>
      <c r="C103" s="148"/>
      <c r="D103" s="148" t="s">
        <v>180</v>
      </c>
      <c r="E103" s="145" t="s">
        <v>179</v>
      </c>
      <c r="G103" s="105" t="s">
        <v>178</v>
      </c>
      <c r="H103" s="16"/>
      <c r="K103" s="49"/>
    </row>
    <row r="104" spans="1:11">
      <c r="A104" s="49"/>
      <c r="B104" s="147" t="s">
        <v>113</v>
      </c>
      <c r="C104" s="147" t="s">
        <v>112</v>
      </c>
      <c r="D104" s="146"/>
      <c r="E104" s="146"/>
      <c r="F104" s="144" t="s">
        <v>177</v>
      </c>
      <c r="G104" s="144" t="s">
        <v>176</v>
      </c>
      <c r="H104" s="94"/>
      <c r="K104" s="49"/>
    </row>
    <row r="105" spans="1:11">
      <c r="A105" s="49"/>
      <c r="B105" s="145" t="s">
        <v>107</v>
      </c>
      <c r="C105" s="145" t="s">
        <v>106</v>
      </c>
      <c r="D105" s="145"/>
      <c r="F105" s="144"/>
      <c r="G105" s="144"/>
      <c r="K105" s="49"/>
    </row>
    <row r="106" spans="1:11">
      <c r="A106" s="49"/>
      <c r="K106" s="49"/>
    </row>
    <row r="107" spans="1:11">
      <c r="A107" s="49"/>
      <c r="B107" s="13">
        <v>50</v>
      </c>
      <c r="D107" s="143">
        <v>1</v>
      </c>
      <c r="F107" s="105">
        <f>D107*1+E107*6</f>
        <v>1</v>
      </c>
      <c r="G107" s="142">
        <v>0</v>
      </c>
      <c r="K107" s="49"/>
    </row>
    <row r="108" spans="1:11">
      <c r="A108" s="49"/>
      <c r="B108" s="13">
        <v>100</v>
      </c>
      <c r="D108" s="143">
        <v>1</v>
      </c>
      <c r="F108" s="105">
        <f>D108*1+E108*6</f>
        <v>1</v>
      </c>
      <c r="G108" s="142">
        <v>0</v>
      </c>
      <c r="K108" s="49"/>
    </row>
    <row r="109" spans="1:11">
      <c r="A109" s="49"/>
      <c r="D109" s="143"/>
      <c r="F109" s="105"/>
      <c r="G109" s="142"/>
      <c r="K109" s="49"/>
    </row>
    <row r="110" spans="1:11">
      <c r="A110" s="49"/>
      <c r="B110" s="13">
        <v>150</v>
      </c>
      <c r="E110" s="143">
        <v>1</v>
      </c>
      <c r="F110" s="105">
        <f>D110*1+E110*6</f>
        <v>6</v>
      </c>
      <c r="G110" s="142">
        <v>0</v>
      </c>
      <c r="K110" s="49"/>
    </row>
    <row r="111" spans="1:11">
      <c r="A111" s="49"/>
      <c r="B111" s="13">
        <v>200</v>
      </c>
      <c r="E111" s="143">
        <v>1</v>
      </c>
      <c r="F111" s="105">
        <f>D111*1+E111*6</f>
        <v>6</v>
      </c>
      <c r="G111" s="142">
        <v>0</v>
      </c>
      <c r="K111" s="49"/>
    </row>
    <row r="112" spans="1:11">
      <c r="A112" s="49"/>
      <c r="K112" s="49"/>
    </row>
    <row r="113" spans="1:28" s="87" customFormat="1"/>
    <row r="114" spans="1:28">
      <c r="A114" s="49"/>
      <c r="K114" s="49"/>
      <c r="T114" s="49"/>
      <c r="U114" s="49"/>
      <c r="V114" s="49"/>
      <c r="W114" s="49"/>
      <c r="X114" s="49"/>
      <c r="Y114" s="49"/>
      <c r="Z114" s="49"/>
      <c r="AA114" s="49"/>
      <c r="AB114" s="49"/>
    </row>
    <row r="115" spans="1:28">
      <c r="A115" s="49"/>
      <c r="K115" s="49"/>
      <c r="T115" s="49"/>
      <c r="U115" s="49"/>
      <c r="V115" s="49"/>
      <c r="W115" s="49"/>
      <c r="X115" s="49"/>
      <c r="Y115" s="49"/>
      <c r="Z115" s="49"/>
      <c r="AA115" s="49"/>
      <c r="AB115" s="49"/>
    </row>
    <row r="116" spans="1:28">
      <c r="A116" s="49"/>
      <c r="K116" s="125" t="s">
        <v>175</v>
      </c>
      <c r="T116" s="49"/>
      <c r="U116" s="49"/>
      <c r="V116" s="49"/>
      <c r="W116" s="49"/>
      <c r="X116" s="49"/>
      <c r="Y116" s="49"/>
      <c r="Z116" s="49"/>
      <c r="AA116" s="49"/>
      <c r="AB116" s="49"/>
    </row>
    <row r="117" spans="1:28">
      <c r="A117" s="49"/>
      <c r="B117" s="124" t="s">
        <v>174</v>
      </c>
      <c r="K117" s="49"/>
      <c r="T117" s="49"/>
      <c r="U117" s="49"/>
      <c r="V117" s="49"/>
      <c r="W117" s="49"/>
      <c r="X117" s="49"/>
      <c r="Y117" s="49"/>
      <c r="Z117" s="49"/>
      <c r="AA117" s="49"/>
      <c r="AB117" s="49"/>
    </row>
    <row r="118" spans="1:28">
      <c r="A118" s="49"/>
      <c r="B118" s="43"/>
      <c r="K118" s="49"/>
      <c r="T118" s="49"/>
      <c r="U118" s="49"/>
      <c r="V118" s="49"/>
      <c r="W118" s="49"/>
      <c r="X118" s="49"/>
      <c r="Y118" s="49"/>
      <c r="Z118" s="49"/>
      <c r="AA118" s="49"/>
      <c r="AB118" s="49"/>
    </row>
    <row r="119" spans="1:28">
      <c r="A119" s="49"/>
      <c r="B119" s="129" t="s">
        <v>173</v>
      </c>
      <c r="C119" s="94"/>
      <c r="D119" s="94"/>
      <c r="E119" s="94"/>
      <c r="K119" s="49"/>
      <c r="T119" s="49"/>
      <c r="U119" s="49"/>
      <c r="V119" s="49"/>
      <c r="W119" s="49"/>
      <c r="X119" s="49"/>
      <c r="Y119" s="49"/>
      <c r="Z119" s="49"/>
      <c r="AA119" s="49"/>
      <c r="AB119" s="49"/>
    </row>
    <row r="120" spans="1:28">
      <c r="A120" s="49"/>
      <c r="B120" s="94" t="s">
        <v>172</v>
      </c>
      <c r="C120" s="94"/>
      <c r="D120" s="107">
        <f>D15</f>
        <v>14101.476000000001</v>
      </c>
      <c r="E120" s="141" t="s">
        <v>171</v>
      </c>
      <c r="K120" s="49"/>
      <c r="T120" s="49"/>
      <c r="U120" s="49"/>
      <c r="V120" s="49"/>
      <c r="W120" s="49"/>
      <c r="X120" s="49"/>
      <c r="Y120" s="49"/>
      <c r="Z120" s="49"/>
      <c r="AA120" s="49"/>
      <c r="AB120" s="49"/>
    </row>
    <row r="121" spans="1:28">
      <c r="A121" s="49"/>
      <c r="B121" s="94" t="s">
        <v>170</v>
      </c>
      <c r="C121" s="94"/>
      <c r="D121" s="107">
        <f>D16</f>
        <v>146</v>
      </c>
      <c r="E121" s="141" t="s">
        <v>169</v>
      </c>
      <c r="T121" s="49"/>
      <c r="U121" s="49"/>
      <c r="V121" s="49"/>
      <c r="W121" s="49"/>
      <c r="X121" s="49"/>
      <c r="Y121" s="49"/>
      <c r="Z121" s="49"/>
      <c r="AA121" s="49"/>
      <c r="AB121" s="49"/>
    </row>
    <row r="122" spans="1:28">
      <c r="A122" s="49"/>
      <c r="B122" s="94" t="s">
        <v>168</v>
      </c>
      <c r="C122" s="94"/>
      <c r="D122" s="107">
        <f>D17</f>
        <v>2337</v>
      </c>
      <c r="E122" s="141" t="s">
        <v>103</v>
      </c>
      <c r="T122" s="49"/>
      <c r="U122" s="49"/>
      <c r="V122" s="49"/>
      <c r="W122" s="49"/>
      <c r="X122" s="49"/>
      <c r="Y122" s="49"/>
      <c r="Z122" s="49"/>
      <c r="AA122" s="49"/>
      <c r="AB122" s="49"/>
    </row>
    <row r="123" spans="1:28">
      <c r="A123" s="49"/>
      <c r="B123" s="94" t="s">
        <v>167</v>
      </c>
      <c r="C123" s="94"/>
      <c r="D123" s="107" t="e">
        <f>D18</f>
        <v>#REF!</v>
      </c>
      <c r="E123" s="141" t="s">
        <v>166</v>
      </c>
      <c r="T123" s="49"/>
      <c r="U123" s="49"/>
      <c r="V123" s="49"/>
      <c r="W123" s="49"/>
      <c r="X123" s="49"/>
      <c r="Y123" s="49"/>
      <c r="Z123" s="49"/>
      <c r="AA123" s="49"/>
      <c r="AB123" s="49"/>
    </row>
    <row r="124" spans="1:28">
      <c r="A124" s="49"/>
      <c r="B124" s="94"/>
      <c r="C124" s="94"/>
      <c r="D124" s="107"/>
      <c r="E124" s="141"/>
      <c r="T124" s="49"/>
      <c r="U124" s="49"/>
      <c r="V124" s="49"/>
      <c r="W124" s="49"/>
      <c r="X124" s="49"/>
      <c r="Y124" s="49"/>
      <c r="Z124" s="49"/>
      <c r="AA124" s="49"/>
      <c r="AB124" s="49"/>
    </row>
    <row r="125" spans="1:28">
      <c r="A125" s="49"/>
      <c r="B125" s="94"/>
      <c r="C125" s="94"/>
      <c r="D125" s="107"/>
      <c r="E125" s="141"/>
      <c r="T125" s="49"/>
      <c r="U125" s="49"/>
      <c r="V125" s="49"/>
      <c r="W125" s="49"/>
      <c r="X125" s="49"/>
      <c r="Y125" s="49"/>
      <c r="Z125" s="49"/>
      <c r="AA125" s="49"/>
      <c r="AB125" s="49"/>
    </row>
    <row r="126" spans="1:28">
      <c r="A126" s="49"/>
      <c r="B126" s="129" t="s">
        <v>165</v>
      </c>
      <c r="C126" s="94"/>
      <c r="D126" s="107"/>
      <c r="E126" s="141"/>
      <c r="T126" s="49"/>
      <c r="U126" s="49"/>
      <c r="V126" s="49"/>
      <c r="W126" s="49"/>
      <c r="X126" s="49"/>
      <c r="Y126" s="49"/>
      <c r="Z126" s="49"/>
      <c r="AA126" s="49"/>
      <c r="AB126" s="49"/>
    </row>
    <row r="127" spans="1:28">
      <c r="A127" s="49"/>
      <c r="B127" s="139" t="s">
        <v>164</v>
      </c>
      <c r="C127" s="139"/>
      <c r="D127" s="138" t="e">
        <f>E36*1000</f>
        <v>#REF!</v>
      </c>
      <c r="E127" s="137" t="s">
        <v>163</v>
      </c>
      <c r="F127" s="49"/>
      <c r="T127" s="49"/>
      <c r="U127" s="49"/>
      <c r="V127" s="49"/>
      <c r="W127" s="49"/>
      <c r="X127" s="49"/>
      <c r="Y127" s="49"/>
      <c r="Z127" s="49"/>
      <c r="AA127" s="49"/>
      <c r="AB127" s="49"/>
    </row>
    <row r="128" spans="1:28">
      <c r="A128" s="49"/>
      <c r="B128" s="139"/>
      <c r="C128" s="139"/>
      <c r="D128" s="139"/>
      <c r="E128" s="140"/>
      <c r="F128" s="49"/>
      <c r="T128" s="49"/>
      <c r="U128" s="49"/>
      <c r="V128" s="49"/>
      <c r="W128" s="49"/>
      <c r="X128" s="49"/>
      <c r="Y128" s="49"/>
      <c r="Z128" s="49"/>
      <c r="AA128" s="49"/>
      <c r="AB128" s="49"/>
    </row>
    <row r="129" spans="1:28">
      <c r="A129" s="49"/>
      <c r="B129" s="139" t="s">
        <v>162</v>
      </c>
      <c r="C129" s="139"/>
      <c r="D129" s="133" t="e">
        <f>'Net Plant'!L8*1000</f>
        <v>#REF!</v>
      </c>
      <c r="E129" s="137" t="s">
        <v>161</v>
      </c>
      <c r="T129" s="49"/>
      <c r="U129" s="49"/>
      <c r="V129" s="49"/>
      <c r="W129" s="49"/>
      <c r="X129" s="49"/>
      <c r="Y129" s="49"/>
      <c r="Z129" s="49"/>
      <c r="AA129" s="49"/>
      <c r="AB129" s="49"/>
    </row>
    <row r="130" spans="1:28">
      <c r="A130" s="49"/>
      <c r="B130" s="139"/>
      <c r="C130" s="139"/>
      <c r="D130" s="138"/>
      <c r="E130" s="137"/>
      <c r="F130" s="49"/>
      <c r="T130" s="49"/>
      <c r="U130" s="49"/>
      <c r="V130" s="49"/>
      <c r="W130" s="49"/>
      <c r="X130" s="49"/>
      <c r="Y130" s="49"/>
      <c r="Z130" s="49"/>
      <c r="AA130" s="49"/>
      <c r="AB130" s="49"/>
    </row>
    <row r="131" spans="1:28">
      <c r="A131" s="49"/>
      <c r="B131" s="94"/>
      <c r="C131" s="94"/>
      <c r="D131" s="136"/>
      <c r="E131" s="102"/>
      <c r="T131" s="49"/>
      <c r="U131" s="49"/>
      <c r="V131" s="49"/>
      <c r="W131" s="49"/>
      <c r="X131" s="49"/>
      <c r="Y131" s="49"/>
      <c r="Z131" s="49"/>
      <c r="AA131" s="49"/>
      <c r="AB131" s="49"/>
    </row>
    <row r="132" spans="1:28">
      <c r="A132" s="49"/>
      <c r="B132" s="94"/>
      <c r="C132" s="94"/>
      <c r="D132" s="105" t="s">
        <v>160</v>
      </c>
      <c r="E132" s="102"/>
      <c r="F132" s="135" t="s">
        <v>159</v>
      </c>
      <c r="T132" s="49"/>
      <c r="U132" s="49"/>
      <c r="V132" s="49"/>
      <c r="W132" s="49"/>
      <c r="X132" s="49"/>
      <c r="Y132" s="49"/>
      <c r="Z132" s="49"/>
      <c r="AA132" s="49"/>
      <c r="AB132" s="49"/>
    </row>
    <row r="133" spans="1:28">
      <c r="A133" s="49"/>
      <c r="B133" s="94"/>
      <c r="C133" s="94"/>
      <c r="D133" s="110" t="s">
        <v>158</v>
      </c>
      <c r="E133" s="102"/>
      <c r="F133" s="110" t="s">
        <v>157</v>
      </c>
      <c r="T133" s="49"/>
      <c r="U133" s="49"/>
      <c r="V133" s="49"/>
      <c r="W133" s="49"/>
      <c r="X133" s="49"/>
      <c r="Y133" s="49"/>
      <c r="Z133" s="49"/>
      <c r="AA133" s="49"/>
      <c r="AB133" s="49"/>
    </row>
    <row r="134" spans="1:28">
      <c r="A134" s="49"/>
      <c r="B134" s="94" t="s">
        <v>156</v>
      </c>
      <c r="C134" s="94"/>
      <c r="D134" s="133" t="e">
        <f>'Net Plant'!L13*1000</f>
        <v>#REF!</v>
      </c>
      <c r="E134" s="102" t="s">
        <v>155</v>
      </c>
      <c r="F134" s="132" t="e">
        <f>D134/$D$129*$D$127</f>
        <v>#REF!</v>
      </c>
      <c r="G134" s="102" t="str">
        <f>"K = ("&amp;E134&amp;"/F) x E"</f>
        <v>K = (G/F) x E</v>
      </c>
      <c r="T134" s="49"/>
      <c r="U134" s="49"/>
      <c r="V134" s="49"/>
      <c r="W134" s="49"/>
      <c r="X134" s="49"/>
      <c r="Y134" s="49"/>
      <c r="Z134" s="49"/>
      <c r="AA134" s="49"/>
      <c r="AB134" s="49"/>
    </row>
    <row r="135" spans="1:28">
      <c r="A135" s="49"/>
      <c r="B135" s="94" t="s">
        <v>154</v>
      </c>
      <c r="C135" s="94"/>
      <c r="D135" s="133" t="e">
        <f>'Net Plant'!L14*1000</f>
        <v>#REF!</v>
      </c>
      <c r="E135" s="102" t="s">
        <v>153</v>
      </c>
      <c r="F135" s="132" t="e">
        <f>D135/$D$129*$D$127</f>
        <v>#REF!</v>
      </c>
      <c r="G135" s="102" t="str">
        <f>"L = ("&amp;E135&amp;"/F) x E"</f>
        <v>L = (H/F) x E</v>
      </c>
      <c r="T135" s="49"/>
      <c r="U135" s="49"/>
      <c r="V135" s="49"/>
      <c r="W135" s="49"/>
      <c r="X135" s="49"/>
      <c r="Y135" s="49"/>
      <c r="Z135" s="49"/>
      <c r="AA135" s="49"/>
      <c r="AB135" s="49"/>
    </row>
    <row r="136" spans="1:28">
      <c r="A136" s="49"/>
      <c r="B136" s="94" t="s">
        <v>152</v>
      </c>
      <c r="C136" s="94"/>
      <c r="D136" s="133" t="e">
        <f>'Net Plant'!L15*1000</f>
        <v>#REF!</v>
      </c>
      <c r="E136" s="102" t="s">
        <v>151</v>
      </c>
      <c r="F136" s="132" t="e">
        <f>D136/$D$129*$D$127</f>
        <v>#REF!</v>
      </c>
      <c r="G136" s="102" t="str">
        <f>"M = ("&amp;E136&amp;"/F) x E"</f>
        <v>M = (I/F) x E</v>
      </c>
      <c r="T136" s="49"/>
      <c r="U136" s="49"/>
      <c r="V136" s="49"/>
      <c r="W136" s="49"/>
      <c r="X136" s="49"/>
      <c r="Y136" s="49"/>
      <c r="Z136" s="49"/>
      <c r="AA136" s="49"/>
      <c r="AB136" s="49"/>
    </row>
    <row r="137" spans="1:28">
      <c r="A137" s="49"/>
      <c r="B137" s="94" t="s">
        <v>150</v>
      </c>
      <c r="C137" s="94"/>
      <c r="D137" s="133" t="e">
        <f>'Net Plant'!L16*1000</f>
        <v>#REF!</v>
      </c>
      <c r="E137" s="102" t="s">
        <v>149</v>
      </c>
      <c r="F137" s="132" t="e">
        <f>D137/$D$129*$D$127</f>
        <v>#REF!</v>
      </c>
      <c r="G137" s="102" t="str">
        <f>"N = ("&amp;E137&amp;"/F) x E"</f>
        <v>N = (J/F) x E</v>
      </c>
      <c r="T137" s="49"/>
      <c r="U137" s="49"/>
      <c r="V137" s="49"/>
      <c r="W137" s="49"/>
      <c r="X137" s="49"/>
      <c r="Y137" s="49"/>
      <c r="Z137" s="49"/>
      <c r="AA137" s="49"/>
      <c r="AB137" s="49"/>
    </row>
    <row r="138" spans="1:28">
      <c r="A138" s="49"/>
      <c r="B138" s="94"/>
      <c r="C138" s="94"/>
      <c r="D138" s="131"/>
      <c r="E138" s="130"/>
      <c r="T138" s="49"/>
      <c r="U138" s="49"/>
      <c r="V138" s="49"/>
      <c r="W138" s="49"/>
      <c r="X138" s="49"/>
      <c r="Y138" s="49"/>
      <c r="Z138" s="49"/>
      <c r="AA138" s="49"/>
      <c r="AB138" s="49"/>
    </row>
    <row r="139" spans="1:28">
      <c r="A139" s="49"/>
      <c r="B139" s="94"/>
      <c r="C139" s="94"/>
      <c r="D139" s="131"/>
      <c r="E139" s="130"/>
      <c r="T139" s="49"/>
      <c r="U139" s="49"/>
      <c r="V139" s="49"/>
      <c r="W139" s="49"/>
      <c r="X139" s="49"/>
      <c r="Y139" s="49"/>
      <c r="Z139" s="49"/>
      <c r="AA139" s="49"/>
      <c r="AB139" s="49"/>
    </row>
    <row r="140" spans="1:28">
      <c r="A140" s="49"/>
      <c r="B140" s="129" t="s">
        <v>148</v>
      </c>
      <c r="C140" s="94"/>
      <c r="D140" s="94"/>
      <c r="E140" s="105"/>
      <c r="T140" s="49"/>
      <c r="U140" s="49"/>
      <c r="V140" s="49"/>
      <c r="W140" s="49"/>
      <c r="X140" s="49"/>
      <c r="Y140" s="49"/>
      <c r="Z140" s="49"/>
      <c r="AA140" s="49"/>
      <c r="AB140" s="49"/>
    </row>
    <row r="141" spans="1:28">
      <c r="A141" s="49"/>
      <c r="B141" s="94" t="s">
        <v>147</v>
      </c>
      <c r="C141" s="94" t="s">
        <v>146</v>
      </c>
      <c r="D141" s="136" t="e">
        <f>F134/D120</f>
        <v>#REF!</v>
      </c>
      <c r="E141" s="102" t="s">
        <v>145</v>
      </c>
      <c r="T141" s="49"/>
      <c r="U141" s="49"/>
      <c r="V141" s="49"/>
      <c r="W141" s="49"/>
      <c r="X141" s="49"/>
      <c r="Y141" s="49"/>
      <c r="Z141" s="49"/>
      <c r="AA141" s="49"/>
      <c r="AB141" s="49"/>
    </row>
    <row r="142" spans="1:28">
      <c r="A142" s="49"/>
      <c r="B142" s="94" t="s">
        <v>144</v>
      </c>
      <c r="C142" s="94" t="s">
        <v>143</v>
      </c>
      <c r="D142" s="136" t="e">
        <f>F135/D121</f>
        <v>#REF!</v>
      </c>
      <c r="E142" s="102" t="s">
        <v>142</v>
      </c>
      <c r="T142" s="49"/>
      <c r="U142" s="49"/>
      <c r="V142" s="49"/>
      <c r="W142" s="49"/>
      <c r="X142" s="49"/>
      <c r="Y142" s="49"/>
      <c r="Z142" s="49"/>
      <c r="AA142" s="49"/>
      <c r="AB142" s="49"/>
    </row>
    <row r="143" spans="1:28">
      <c r="A143" s="49"/>
      <c r="B143" s="94" t="s">
        <v>141</v>
      </c>
      <c r="C143" s="94" t="s">
        <v>140</v>
      </c>
      <c r="D143" s="136" t="e">
        <f>F136/D122</f>
        <v>#REF!</v>
      </c>
      <c r="E143" s="102" t="s">
        <v>139</v>
      </c>
      <c r="T143" s="49"/>
      <c r="U143" s="49"/>
      <c r="V143" s="49"/>
      <c r="W143" s="49"/>
      <c r="X143" s="49"/>
      <c r="Y143" s="49"/>
      <c r="Z143" s="49"/>
      <c r="AA143" s="49"/>
      <c r="AB143" s="49"/>
    </row>
    <row r="144" spans="1:28">
      <c r="A144" s="49"/>
      <c r="B144" s="94" t="s">
        <v>138</v>
      </c>
      <c r="C144" s="94" t="s">
        <v>137</v>
      </c>
      <c r="D144" s="127" t="e">
        <f>F137/D123</f>
        <v>#REF!</v>
      </c>
      <c r="E144" s="102" t="s">
        <v>136</v>
      </c>
      <c r="T144" s="49"/>
      <c r="U144" s="49"/>
      <c r="V144" s="49"/>
      <c r="W144" s="49"/>
      <c r="X144" s="49"/>
      <c r="Y144" s="49"/>
      <c r="Z144" s="49"/>
      <c r="AA144" s="49"/>
      <c r="AB144" s="49"/>
    </row>
    <row r="145" spans="1:28">
      <c r="A145" s="49"/>
      <c r="B145" s="94" t="s">
        <v>135</v>
      </c>
      <c r="C145" s="94" t="s">
        <v>97</v>
      </c>
      <c r="D145" s="126" t="e">
        <f>D45</f>
        <v>#REF!</v>
      </c>
      <c r="E145" s="102" t="s">
        <v>134</v>
      </c>
      <c r="F145" s="94"/>
      <c r="T145" s="49"/>
      <c r="U145" s="49"/>
      <c r="V145" s="49"/>
      <c r="W145" s="49"/>
      <c r="X145" s="49"/>
      <c r="Y145" s="49"/>
      <c r="Z145" s="49"/>
      <c r="AA145" s="49"/>
      <c r="AB145" s="49"/>
    </row>
    <row r="146" spans="1:28">
      <c r="A146" s="49"/>
      <c r="T146" s="49"/>
      <c r="U146" s="49"/>
      <c r="V146" s="49"/>
      <c r="W146" s="49"/>
      <c r="X146" s="49"/>
      <c r="Y146" s="49"/>
      <c r="Z146" s="49"/>
      <c r="AA146" s="49"/>
      <c r="AB146" s="49"/>
    </row>
    <row r="147" spans="1:28">
      <c r="T147" s="49"/>
      <c r="U147" s="49"/>
      <c r="V147" s="49"/>
      <c r="W147" s="49"/>
      <c r="X147" s="49"/>
      <c r="Y147" s="49"/>
      <c r="Z147" s="49"/>
      <c r="AA147" s="49"/>
      <c r="AB147" s="49"/>
    </row>
    <row r="148" spans="1:28" s="87" customFormat="1"/>
    <row r="149" spans="1:28">
      <c r="T149" s="49"/>
      <c r="U149" s="49"/>
      <c r="V149" s="49"/>
      <c r="W149" s="49"/>
      <c r="X149" s="49"/>
      <c r="Y149" s="49"/>
      <c r="Z149" s="49"/>
      <c r="AA149" s="49"/>
      <c r="AB149" s="49"/>
    </row>
    <row r="150" spans="1:28">
      <c r="A150" s="43" t="s">
        <v>133</v>
      </c>
      <c r="B150" s="94"/>
      <c r="C150" s="94"/>
      <c r="D150" s="94"/>
      <c r="E150" s="94"/>
      <c r="F150" s="94"/>
      <c r="G150" s="94"/>
      <c r="H150" s="94"/>
      <c r="I150" s="94"/>
      <c r="J150" s="94"/>
      <c r="K150" s="94"/>
      <c r="L150" s="94"/>
      <c r="M150" s="94"/>
      <c r="N150" s="94"/>
      <c r="T150" s="49"/>
      <c r="U150" s="49"/>
      <c r="V150" s="49"/>
      <c r="W150" s="49"/>
      <c r="X150" s="49"/>
      <c r="Y150" s="49"/>
      <c r="Z150" s="49"/>
      <c r="AA150" s="49"/>
      <c r="AB150" s="49"/>
    </row>
    <row r="151" spans="1:28">
      <c r="A151" s="9" t="s">
        <v>132</v>
      </c>
      <c r="B151" s="94"/>
      <c r="C151" s="94"/>
      <c r="D151" s="94"/>
      <c r="E151" s="94"/>
      <c r="F151" s="94"/>
      <c r="G151" s="94"/>
      <c r="H151" s="94"/>
      <c r="I151" s="94"/>
      <c r="J151" s="94"/>
      <c r="K151" s="125" t="s">
        <v>131</v>
      </c>
      <c r="L151" s="94"/>
      <c r="M151" s="94"/>
      <c r="N151" s="94"/>
      <c r="T151" s="49"/>
      <c r="U151" s="49"/>
      <c r="V151" s="49"/>
      <c r="W151" s="49"/>
      <c r="X151" s="49"/>
      <c r="Y151" s="49"/>
      <c r="Z151" s="49"/>
      <c r="AA151" s="49"/>
      <c r="AB151" s="49"/>
    </row>
    <row r="152" spans="1:28">
      <c r="A152" s="94"/>
      <c r="B152" s="94"/>
      <c r="C152" s="94"/>
      <c r="D152" s="94"/>
      <c r="E152" s="94"/>
      <c r="F152" s="94"/>
      <c r="G152" s="94"/>
      <c r="H152" s="94"/>
      <c r="I152" s="94"/>
      <c r="J152" s="94"/>
      <c r="K152" s="94"/>
      <c r="L152" s="94"/>
      <c r="M152" s="94"/>
      <c r="N152" s="94"/>
    </row>
    <row r="153" spans="1:28">
      <c r="A153" s="124" t="s">
        <v>130</v>
      </c>
      <c r="B153" s="94"/>
      <c r="C153" s="94"/>
      <c r="D153" s="94"/>
      <c r="E153" s="94"/>
      <c r="F153" s="94"/>
      <c r="G153" s="94"/>
      <c r="H153" s="94"/>
      <c r="I153" s="94"/>
      <c r="J153" s="94"/>
      <c r="K153" s="94"/>
      <c r="L153" s="94"/>
      <c r="M153" s="94"/>
      <c r="N153" s="94"/>
    </row>
    <row r="154" spans="1:28">
      <c r="A154" s="124"/>
      <c r="B154" s="94"/>
      <c r="C154" s="94"/>
      <c r="D154" s="94"/>
      <c r="E154" s="94"/>
      <c r="F154" s="94"/>
      <c r="G154" s="94"/>
      <c r="H154" s="94"/>
      <c r="I154" s="94"/>
      <c r="J154" s="94"/>
      <c r="K154" s="94"/>
      <c r="L154" s="94"/>
      <c r="M154" s="94"/>
      <c r="N154" s="94"/>
    </row>
    <row r="155" spans="1:28" ht="15.6">
      <c r="A155" s="123" t="s">
        <v>129</v>
      </c>
      <c r="B155" s="94"/>
      <c r="C155" s="94"/>
      <c r="D155" s="94"/>
      <c r="E155" s="94"/>
      <c r="F155" s="94"/>
      <c r="G155" s="94"/>
      <c r="H155" s="94"/>
      <c r="I155" s="94"/>
      <c r="J155" s="94"/>
      <c r="K155" s="94"/>
      <c r="L155" s="94"/>
      <c r="M155" s="94"/>
      <c r="N155" s="94"/>
    </row>
    <row r="156" spans="1:28">
      <c r="A156" s="9"/>
      <c r="B156" s="94"/>
      <c r="C156" s="94"/>
      <c r="D156" s="94"/>
      <c r="E156" s="94"/>
      <c r="F156" s="94"/>
      <c r="G156" s="94"/>
      <c r="H156" s="94"/>
      <c r="I156" s="94"/>
      <c r="J156" s="94"/>
      <c r="K156" s="94"/>
      <c r="L156" s="94"/>
      <c r="M156" s="94"/>
      <c r="N156" s="94"/>
    </row>
    <row r="157" spans="1:28" ht="16.2" thickBot="1">
      <c r="A157" s="113" t="s">
        <v>128</v>
      </c>
      <c r="B157" s="94"/>
      <c r="C157" s="94"/>
      <c r="D157" s="94"/>
      <c r="E157" s="94"/>
      <c r="F157" s="94"/>
      <c r="G157" s="94"/>
      <c r="H157" s="94"/>
      <c r="I157" s="94"/>
      <c r="J157" s="94"/>
      <c r="K157" s="94"/>
      <c r="L157" s="94"/>
      <c r="M157" s="94"/>
      <c r="N157" s="94"/>
    </row>
    <row r="158" spans="1:28" ht="14.4" thickBot="1">
      <c r="A158" s="94"/>
      <c r="B158" s="94"/>
      <c r="C158" s="94"/>
      <c r="D158" s="94"/>
      <c r="E158" s="94"/>
      <c r="F158" s="94"/>
      <c r="G158" s="105" t="s">
        <v>121</v>
      </c>
      <c r="H158" s="94"/>
      <c r="I158" s="94"/>
      <c r="J158" s="112" t="s">
        <v>120</v>
      </c>
      <c r="K158" s="91"/>
      <c r="L158" s="111"/>
      <c r="M158" s="94"/>
      <c r="N158" s="94"/>
    </row>
    <row r="159" spans="1:28">
      <c r="A159" s="105"/>
      <c r="B159" s="105"/>
      <c r="C159" s="105" t="s">
        <v>117</v>
      </c>
      <c r="D159" s="105" t="s">
        <v>119</v>
      </c>
      <c r="E159" s="105" t="s">
        <v>118</v>
      </c>
      <c r="F159" s="105" t="s">
        <v>117</v>
      </c>
      <c r="G159" s="105" t="s">
        <v>116</v>
      </c>
      <c r="H159" s="105" t="s">
        <v>115</v>
      </c>
      <c r="I159" s="105"/>
      <c r="J159" s="105" t="s">
        <v>110</v>
      </c>
      <c r="K159" s="105" t="s">
        <v>114</v>
      </c>
      <c r="L159" s="94"/>
      <c r="M159" s="94"/>
      <c r="N159" s="94"/>
    </row>
    <row r="160" spans="1:28">
      <c r="A160" s="110" t="s">
        <v>113</v>
      </c>
      <c r="B160" s="110" t="s">
        <v>112</v>
      </c>
      <c r="C160" s="110" t="s">
        <v>111</v>
      </c>
      <c r="D160" s="110" t="s">
        <v>111</v>
      </c>
      <c r="E160" s="110" t="s">
        <v>111</v>
      </c>
      <c r="F160" s="110" t="s">
        <v>110</v>
      </c>
      <c r="G160" s="110" t="s">
        <v>110</v>
      </c>
      <c r="H160" s="110" t="s">
        <v>110</v>
      </c>
      <c r="I160" s="110" t="s">
        <v>110</v>
      </c>
      <c r="J160" s="110" t="s">
        <v>109</v>
      </c>
      <c r="K160" s="110" t="s">
        <v>108</v>
      </c>
      <c r="L160" s="110" t="s">
        <v>1</v>
      </c>
      <c r="M160" s="94"/>
      <c r="N160" s="94"/>
    </row>
    <row r="161" spans="1:15">
      <c r="A161" s="105" t="s">
        <v>107</v>
      </c>
      <c r="B161" s="105" t="s">
        <v>106</v>
      </c>
      <c r="C161" s="105"/>
      <c r="D161" s="105"/>
      <c r="E161" s="105"/>
      <c r="F161" s="105" t="s">
        <v>105</v>
      </c>
      <c r="G161" s="105" t="s">
        <v>105</v>
      </c>
      <c r="H161" s="105" t="s">
        <v>105</v>
      </c>
      <c r="I161" s="105" t="s">
        <v>105</v>
      </c>
      <c r="J161" s="105" t="s">
        <v>104</v>
      </c>
      <c r="K161" s="105" t="s">
        <v>104</v>
      </c>
      <c r="L161" s="105" t="s">
        <v>104</v>
      </c>
      <c r="M161" s="94"/>
      <c r="N161" s="94"/>
    </row>
    <row r="162" spans="1:15">
      <c r="A162" s="94"/>
      <c r="B162" s="94"/>
      <c r="C162" s="94"/>
      <c r="D162" s="94"/>
      <c r="E162" s="94"/>
      <c r="F162" s="94"/>
      <c r="G162" s="94"/>
      <c r="H162" s="94"/>
      <c r="I162" s="94"/>
      <c r="J162" s="94"/>
      <c r="K162" s="94"/>
      <c r="L162" s="94"/>
      <c r="M162" s="94"/>
      <c r="N162" s="94"/>
    </row>
    <row r="163" spans="1:15">
      <c r="A163" s="94">
        <f>B57</f>
        <v>50</v>
      </c>
      <c r="B163" s="94">
        <f>C57</f>
        <v>50</v>
      </c>
      <c r="C163" s="94">
        <v>1</v>
      </c>
      <c r="D163" s="94">
        <f>'SNB-2020'!I57</f>
        <v>2</v>
      </c>
      <c r="E163" s="109">
        <f>'SNB-2020'!J57</f>
        <v>0</v>
      </c>
      <c r="F163" s="108" t="e">
        <f t="shared" ref="F163:F180" si="2">(C163*$D$142)+(D163*$D$143)</f>
        <v>#REF!</v>
      </c>
      <c r="G163" s="108" t="e">
        <f t="shared" ref="G163:G180" si="3">$D$144*A163*1000</f>
        <v>#REF!</v>
      </c>
      <c r="H163" s="108" t="e">
        <f t="shared" ref="H163:H180" si="4">E163*$D$141</f>
        <v>#REF!</v>
      </c>
      <c r="I163" s="107" t="e">
        <f t="shared" ref="I163:I180" si="5">F163+G163+H163</f>
        <v>#REF!</v>
      </c>
      <c r="J163" s="106" t="e">
        <f t="shared" ref="J163:J180" si="6">I163/A163/365/1000</f>
        <v>#REF!</v>
      </c>
      <c r="K163" s="106" t="e">
        <f t="shared" ref="K163:K180" si="7">$D$45</f>
        <v>#REF!</v>
      </c>
      <c r="L163" s="106" t="e">
        <f t="shared" ref="L163:L180" si="8">K163+J163</f>
        <v>#REF!</v>
      </c>
      <c r="M163" s="94"/>
      <c r="N163" s="94"/>
    </row>
    <row r="164" spans="1:15">
      <c r="A164" s="94">
        <f>A163</f>
        <v>50</v>
      </c>
      <c r="B164" s="94">
        <f t="shared" ref="B164:B180" si="9">C58</f>
        <v>100</v>
      </c>
      <c r="C164" s="94">
        <v>1</v>
      </c>
      <c r="D164" s="94">
        <f>'SNB-2020'!I58</f>
        <v>7</v>
      </c>
      <c r="E164" s="109">
        <f>'SNB-2020'!J58</f>
        <v>0.76800000000000002</v>
      </c>
      <c r="F164" s="108" t="e">
        <f t="shared" si="2"/>
        <v>#REF!</v>
      </c>
      <c r="G164" s="108" t="e">
        <f t="shared" si="3"/>
        <v>#REF!</v>
      </c>
      <c r="H164" s="108" t="e">
        <f t="shared" si="4"/>
        <v>#REF!</v>
      </c>
      <c r="I164" s="107" t="e">
        <f t="shared" si="5"/>
        <v>#REF!</v>
      </c>
      <c r="J164" s="106" t="e">
        <f t="shared" si="6"/>
        <v>#REF!</v>
      </c>
      <c r="K164" s="106" t="e">
        <f t="shared" si="7"/>
        <v>#REF!</v>
      </c>
      <c r="L164" s="106" t="e">
        <f t="shared" si="8"/>
        <v>#REF!</v>
      </c>
      <c r="M164" s="94"/>
      <c r="N164" s="122"/>
      <c r="O164" s="121"/>
    </row>
    <row r="165" spans="1:15">
      <c r="A165" s="94">
        <f>A164</f>
        <v>50</v>
      </c>
      <c r="B165" s="94">
        <f t="shared" si="9"/>
        <v>150</v>
      </c>
      <c r="C165" s="94">
        <v>1</v>
      </c>
      <c r="D165" s="94">
        <f>'SNB-2020'!I59</f>
        <v>7</v>
      </c>
      <c r="E165" s="109">
        <f>'SNB-2020'!J59</f>
        <v>2.4320000000000004</v>
      </c>
      <c r="F165" s="108" t="e">
        <f t="shared" si="2"/>
        <v>#REF!</v>
      </c>
      <c r="G165" s="108" t="e">
        <f t="shared" si="3"/>
        <v>#REF!</v>
      </c>
      <c r="H165" s="108" t="e">
        <f t="shared" si="4"/>
        <v>#REF!</v>
      </c>
      <c r="I165" s="107" t="e">
        <f t="shared" si="5"/>
        <v>#REF!</v>
      </c>
      <c r="J165" s="106" t="e">
        <f t="shared" si="6"/>
        <v>#REF!</v>
      </c>
      <c r="K165" s="106" t="e">
        <f t="shared" si="7"/>
        <v>#REF!</v>
      </c>
      <c r="L165" s="106" t="e">
        <f t="shared" si="8"/>
        <v>#REF!</v>
      </c>
      <c r="M165" s="94"/>
      <c r="N165" s="122"/>
      <c r="O165" s="121"/>
    </row>
    <row r="166" spans="1:15">
      <c r="A166" s="94">
        <f>A165</f>
        <v>50</v>
      </c>
      <c r="B166" s="94">
        <f t="shared" si="9"/>
        <v>200</v>
      </c>
      <c r="C166" s="94">
        <v>1</v>
      </c>
      <c r="D166" s="94">
        <f>'SNB-2020'!I60</f>
        <v>7</v>
      </c>
      <c r="E166" s="109">
        <f>'SNB-2020'!J60</f>
        <v>4.4799999999999995</v>
      </c>
      <c r="F166" s="108" t="e">
        <f t="shared" si="2"/>
        <v>#REF!</v>
      </c>
      <c r="G166" s="108" t="e">
        <f t="shared" si="3"/>
        <v>#REF!</v>
      </c>
      <c r="H166" s="108" t="e">
        <f t="shared" si="4"/>
        <v>#REF!</v>
      </c>
      <c r="I166" s="107" t="e">
        <f t="shared" si="5"/>
        <v>#REF!</v>
      </c>
      <c r="J166" s="106" t="e">
        <f t="shared" si="6"/>
        <v>#REF!</v>
      </c>
      <c r="K166" s="106" t="e">
        <f t="shared" si="7"/>
        <v>#REF!</v>
      </c>
      <c r="L166" s="106" t="e">
        <f t="shared" si="8"/>
        <v>#REF!</v>
      </c>
      <c r="M166" s="94"/>
      <c r="N166" s="122"/>
      <c r="O166" s="121"/>
    </row>
    <row r="167" spans="1:15">
      <c r="A167" s="94">
        <f>A166</f>
        <v>50</v>
      </c>
      <c r="B167" s="94">
        <f t="shared" si="9"/>
        <v>250</v>
      </c>
      <c r="C167" s="94">
        <v>1</v>
      </c>
      <c r="D167" s="94">
        <f>'SNB-2020'!I61</f>
        <v>7</v>
      </c>
      <c r="E167" s="109">
        <f>'SNB-2020'!J61</f>
        <v>7.8079999999999998</v>
      </c>
      <c r="F167" s="108" t="e">
        <f t="shared" si="2"/>
        <v>#REF!</v>
      </c>
      <c r="G167" s="108" t="e">
        <f t="shared" si="3"/>
        <v>#REF!</v>
      </c>
      <c r="H167" s="108" t="e">
        <f t="shared" si="4"/>
        <v>#REF!</v>
      </c>
      <c r="I167" s="107" t="e">
        <f t="shared" si="5"/>
        <v>#REF!</v>
      </c>
      <c r="J167" s="106" t="e">
        <f t="shared" si="6"/>
        <v>#REF!</v>
      </c>
      <c r="K167" s="106" t="e">
        <f t="shared" si="7"/>
        <v>#REF!</v>
      </c>
      <c r="L167" s="106" t="e">
        <f t="shared" si="8"/>
        <v>#REF!</v>
      </c>
      <c r="M167" s="94"/>
      <c r="N167" s="122"/>
      <c r="O167" s="121"/>
    </row>
    <row r="168" spans="1:15">
      <c r="A168" s="94">
        <f>A167</f>
        <v>50</v>
      </c>
      <c r="B168" s="94">
        <f t="shared" si="9"/>
        <v>300</v>
      </c>
      <c r="C168" s="94">
        <v>1</v>
      </c>
      <c r="D168" s="94">
        <f>'SNB-2020'!I62</f>
        <v>7</v>
      </c>
      <c r="E168" s="109">
        <f>'SNB-2020'!J62</f>
        <v>12.938000000000001</v>
      </c>
      <c r="F168" s="108" t="e">
        <f t="shared" si="2"/>
        <v>#REF!</v>
      </c>
      <c r="G168" s="108" t="e">
        <f t="shared" si="3"/>
        <v>#REF!</v>
      </c>
      <c r="H168" s="108" t="e">
        <f t="shared" si="4"/>
        <v>#REF!</v>
      </c>
      <c r="I168" s="107" t="e">
        <f t="shared" si="5"/>
        <v>#REF!</v>
      </c>
      <c r="J168" s="106" t="e">
        <f t="shared" si="6"/>
        <v>#REF!</v>
      </c>
      <c r="K168" s="106" t="e">
        <f t="shared" si="7"/>
        <v>#REF!</v>
      </c>
      <c r="L168" s="106" t="e">
        <f t="shared" si="8"/>
        <v>#REF!</v>
      </c>
      <c r="M168" s="94"/>
      <c r="N168" s="122"/>
      <c r="O168" s="121"/>
    </row>
    <row r="169" spans="1:15">
      <c r="A169" s="94">
        <f>B63</f>
        <v>100</v>
      </c>
      <c r="B169" s="94">
        <f t="shared" si="9"/>
        <v>100</v>
      </c>
      <c r="C169" s="94">
        <v>1</v>
      </c>
      <c r="D169" s="94">
        <f>'SNB-2020'!I63</f>
        <v>7</v>
      </c>
      <c r="E169" s="109">
        <f>'SNB-2020'!J63</f>
        <v>0.76800000000000002</v>
      </c>
      <c r="F169" s="108" t="e">
        <f t="shared" si="2"/>
        <v>#REF!</v>
      </c>
      <c r="G169" s="108" t="e">
        <f t="shared" si="3"/>
        <v>#REF!</v>
      </c>
      <c r="H169" s="108" t="e">
        <f t="shared" si="4"/>
        <v>#REF!</v>
      </c>
      <c r="I169" s="107" t="e">
        <f t="shared" si="5"/>
        <v>#REF!</v>
      </c>
      <c r="J169" s="106" t="e">
        <f t="shared" si="6"/>
        <v>#REF!</v>
      </c>
      <c r="K169" s="106" t="e">
        <f t="shared" si="7"/>
        <v>#REF!</v>
      </c>
      <c r="L169" s="106" t="e">
        <f t="shared" si="8"/>
        <v>#REF!</v>
      </c>
      <c r="M169" s="94"/>
      <c r="N169" s="122"/>
      <c r="O169" s="121"/>
    </row>
    <row r="170" spans="1:15">
      <c r="A170" s="94">
        <f>A169</f>
        <v>100</v>
      </c>
      <c r="B170" s="94">
        <f t="shared" si="9"/>
        <v>150</v>
      </c>
      <c r="C170" s="94">
        <v>1</v>
      </c>
      <c r="D170" s="94">
        <f>'SNB-2020'!I64</f>
        <v>7</v>
      </c>
      <c r="E170" s="109">
        <f>'SNB-2020'!J64</f>
        <v>2.5600000000000005</v>
      </c>
      <c r="F170" s="108" t="e">
        <f t="shared" si="2"/>
        <v>#REF!</v>
      </c>
      <c r="G170" s="108" t="e">
        <f t="shared" si="3"/>
        <v>#REF!</v>
      </c>
      <c r="H170" s="108" t="e">
        <f t="shared" si="4"/>
        <v>#REF!</v>
      </c>
      <c r="I170" s="107" t="e">
        <f t="shared" si="5"/>
        <v>#REF!</v>
      </c>
      <c r="J170" s="106" t="e">
        <f t="shared" si="6"/>
        <v>#REF!</v>
      </c>
      <c r="K170" s="106" t="e">
        <f t="shared" si="7"/>
        <v>#REF!</v>
      </c>
      <c r="L170" s="106" t="e">
        <f t="shared" si="8"/>
        <v>#REF!</v>
      </c>
      <c r="M170" s="94"/>
      <c r="N170" s="122"/>
      <c r="O170" s="121"/>
    </row>
    <row r="171" spans="1:15">
      <c r="A171" s="94">
        <f>A170</f>
        <v>100</v>
      </c>
      <c r="B171" s="94">
        <f t="shared" si="9"/>
        <v>200</v>
      </c>
      <c r="C171" s="94">
        <v>1</v>
      </c>
      <c r="D171" s="94">
        <f>'SNB-2020'!I65</f>
        <v>7</v>
      </c>
      <c r="E171" s="109">
        <f>'SNB-2020'!J65</f>
        <v>5.120000000000001</v>
      </c>
      <c r="F171" s="108" t="e">
        <f t="shared" si="2"/>
        <v>#REF!</v>
      </c>
      <c r="G171" s="108" t="e">
        <f t="shared" si="3"/>
        <v>#REF!</v>
      </c>
      <c r="H171" s="108" t="e">
        <f t="shared" si="4"/>
        <v>#REF!</v>
      </c>
      <c r="I171" s="107" t="e">
        <f t="shared" si="5"/>
        <v>#REF!</v>
      </c>
      <c r="J171" s="106" t="e">
        <f t="shared" si="6"/>
        <v>#REF!</v>
      </c>
      <c r="K171" s="106" t="e">
        <f t="shared" si="7"/>
        <v>#REF!</v>
      </c>
      <c r="L171" s="106" t="e">
        <f t="shared" si="8"/>
        <v>#REF!</v>
      </c>
      <c r="M171" s="94"/>
      <c r="N171" s="122"/>
      <c r="O171" s="121"/>
    </row>
    <row r="172" spans="1:15">
      <c r="A172" s="94">
        <f>A171</f>
        <v>100</v>
      </c>
      <c r="B172" s="94">
        <f t="shared" si="9"/>
        <v>250</v>
      </c>
      <c r="C172" s="94">
        <v>1</v>
      </c>
      <c r="D172" s="94">
        <f>'SNB-2020'!I66</f>
        <v>7</v>
      </c>
      <c r="E172" s="109">
        <f>'SNB-2020'!J66</f>
        <v>9.9840000000000018</v>
      </c>
      <c r="F172" s="108" t="e">
        <f t="shared" si="2"/>
        <v>#REF!</v>
      </c>
      <c r="G172" s="108" t="e">
        <f t="shared" si="3"/>
        <v>#REF!</v>
      </c>
      <c r="H172" s="108" t="e">
        <f t="shared" si="4"/>
        <v>#REF!</v>
      </c>
      <c r="I172" s="107" t="e">
        <f t="shared" si="5"/>
        <v>#REF!</v>
      </c>
      <c r="J172" s="106" t="e">
        <f t="shared" si="6"/>
        <v>#REF!</v>
      </c>
      <c r="K172" s="106" t="e">
        <f t="shared" si="7"/>
        <v>#REF!</v>
      </c>
      <c r="L172" s="106" t="e">
        <f t="shared" si="8"/>
        <v>#REF!</v>
      </c>
      <c r="M172" s="94"/>
      <c r="N172" s="122"/>
      <c r="O172" s="121"/>
    </row>
    <row r="173" spans="1:15">
      <c r="A173" s="94">
        <f>A172</f>
        <v>100</v>
      </c>
      <c r="B173" s="94">
        <f t="shared" si="9"/>
        <v>300</v>
      </c>
      <c r="C173" s="94">
        <v>1</v>
      </c>
      <c r="D173" s="94">
        <f>'SNB-2020'!I67</f>
        <v>7</v>
      </c>
      <c r="E173" s="109">
        <f>'SNB-2020'!J67</f>
        <v>13.49</v>
      </c>
      <c r="F173" s="108" t="e">
        <f t="shared" si="2"/>
        <v>#REF!</v>
      </c>
      <c r="G173" s="108" t="e">
        <f t="shared" si="3"/>
        <v>#REF!</v>
      </c>
      <c r="H173" s="108" t="e">
        <f t="shared" si="4"/>
        <v>#REF!</v>
      </c>
      <c r="I173" s="107" t="e">
        <f t="shared" si="5"/>
        <v>#REF!</v>
      </c>
      <c r="J173" s="106" t="e">
        <f t="shared" si="6"/>
        <v>#REF!</v>
      </c>
      <c r="K173" s="106" t="e">
        <f t="shared" si="7"/>
        <v>#REF!</v>
      </c>
      <c r="L173" s="106" t="e">
        <f t="shared" si="8"/>
        <v>#REF!</v>
      </c>
      <c r="M173" s="94"/>
      <c r="N173" s="122"/>
      <c r="O173" s="121"/>
    </row>
    <row r="174" spans="1:15">
      <c r="A174" s="94">
        <f>B68</f>
        <v>150</v>
      </c>
      <c r="B174" s="94">
        <f t="shared" si="9"/>
        <v>150</v>
      </c>
      <c r="C174" s="94">
        <v>1</v>
      </c>
      <c r="D174" s="94">
        <f>'SNB-2020'!I68</f>
        <v>7</v>
      </c>
      <c r="E174" s="109">
        <f>'SNB-2020'!J68</f>
        <v>2.5600000000000005</v>
      </c>
      <c r="F174" s="108" t="e">
        <f t="shared" si="2"/>
        <v>#REF!</v>
      </c>
      <c r="G174" s="108" t="e">
        <f t="shared" si="3"/>
        <v>#REF!</v>
      </c>
      <c r="H174" s="108" t="e">
        <f t="shared" si="4"/>
        <v>#REF!</v>
      </c>
      <c r="I174" s="107" t="e">
        <f t="shared" si="5"/>
        <v>#REF!</v>
      </c>
      <c r="J174" s="106" t="e">
        <f t="shared" si="6"/>
        <v>#REF!</v>
      </c>
      <c r="K174" s="106" t="e">
        <f t="shared" si="7"/>
        <v>#REF!</v>
      </c>
      <c r="L174" s="106" t="e">
        <f t="shared" si="8"/>
        <v>#REF!</v>
      </c>
      <c r="M174" s="94"/>
      <c r="N174" s="122"/>
      <c r="O174" s="121"/>
    </row>
    <row r="175" spans="1:15">
      <c r="A175" s="94">
        <f>A174</f>
        <v>150</v>
      </c>
      <c r="B175" s="94">
        <f t="shared" si="9"/>
        <v>200</v>
      </c>
      <c r="C175" s="94">
        <v>1</v>
      </c>
      <c r="D175" s="94">
        <f>'SNB-2020'!I69</f>
        <v>7</v>
      </c>
      <c r="E175" s="109">
        <f>'SNB-2020'!J69</f>
        <v>5.120000000000001</v>
      </c>
      <c r="F175" s="108" t="e">
        <f t="shared" si="2"/>
        <v>#REF!</v>
      </c>
      <c r="G175" s="108" t="e">
        <f t="shared" si="3"/>
        <v>#REF!</v>
      </c>
      <c r="H175" s="108" t="e">
        <f t="shared" si="4"/>
        <v>#REF!</v>
      </c>
      <c r="I175" s="107" t="e">
        <f t="shared" si="5"/>
        <v>#REF!</v>
      </c>
      <c r="J175" s="106" t="e">
        <f t="shared" si="6"/>
        <v>#REF!</v>
      </c>
      <c r="K175" s="106" t="e">
        <f t="shared" si="7"/>
        <v>#REF!</v>
      </c>
      <c r="L175" s="106" t="e">
        <f t="shared" si="8"/>
        <v>#REF!</v>
      </c>
      <c r="M175" s="94"/>
      <c r="N175" s="122"/>
      <c r="O175" s="121"/>
    </row>
    <row r="176" spans="1:15">
      <c r="A176" s="94">
        <f>A175</f>
        <v>150</v>
      </c>
      <c r="B176" s="94">
        <f t="shared" si="9"/>
        <v>250</v>
      </c>
      <c r="C176" s="94">
        <v>1</v>
      </c>
      <c r="D176" s="94">
        <f>'SNB-2020'!I70</f>
        <v>7</v>
      </c>
      <c r="E176" s="109">
        <f>'SNB-2020'!J70</f>
        <v>10.496</v>
      </c>
      <c r="F176" s="108" t="e">
        <f t="shared" si="2"/>
        <v>#REF!</v>
      </c>
      <c r="G176" s="108" t="e">
        <f t="shared" si="3"/>
        <v>#REF!</v>
      </c>
      <c r="H176" s="108" t="e">
        <f t="shared" si="4"/>
        <v>#REF!</v>
      </c>
      <c r="I176" s="107" t="e">
        <f t="shared" si="5"/>
        <v>#REF!</v>
      </c>
      <c r="J176" s="106" t="e">
        <f t="shared" si="6"/>
        <v>#REF!</v>
      </c>
      <c r="K176" s="106" t="e">
        <f t="shared" si="7"/>
        <v>#REF!</v>
      </c>
      <c r="L176" s="106" t="e">
        <f t="shared" si="8"/>
        <v>#REF!</v>
      </c>
      <c r="M176" s="94"/>
      <c r="N176" s="122"/>
      <c r="O176" s="121"/>
    </row>
    <row r="177" spans="1:15">
      <c r="A177" s="94">
        <f>A176</f>
        <v>150</v>
      </c>
      <c r="B177" s="94">
        <f t="shared" si="9"/>
        <v>300</v>
      </c>
      <c r="C177" s="94">
        <v>1</v>
      </c>
      <c r="D177" s="94">
        <f>'SNB-2020'!I71</f>
        <v>7</v>
      </c>
      <c r="E177" s="109">
        <f>'SNB-2020'!J71</f>
        <v>13.628</v>
      </c>
      <c r="F177" s="108" t="e">
        <f t="shared" si="2"/>
        <v>#REF!</v>
      </c>
      <c r="G177" s="108" t="e">
        <f t="shared" si="3"/>
        <v>#REF!</v>
      </c>
      <c r="H177" s="108" t="e">
        <f t="shared" si="4"/>
        <v>#REF!</v>
      </c>
      <c r="I177" s="107" t="e">
        <f t="shared" si="5"/>
        <v>#REF!</v>
      </c>
      <c r="J177" s="106" t="e">
        <f t="shared" si="6"/>
        <v>#REF!</v>
      </c>
      <c r="K177" s="106" t="e">
        <f t="shared" si="7"/>
        <v>#REF!</v>
      </c>
      <c r="L177" s="106" t="e">
        <f t="shared" si="8"/>
        <v>#REF!</v>
      </c>
      <c r="M177" s="94"/>
      <c r="N177" s="122"/>
      <c r="O177" s="121"/>
    </row>
    <row r="178" spans="1:15">
      <c r="A178" s="94">
        <f>B72</f>
        <v>200</v>
      </c>
      <c r="B178" s="94">
        <f t="shared" si="9"/>
        <v>200</v>
      </c>
      <c r="C178" s="94">
        <v>1</v>
      </c>
      <c r="D178" s="94">
        <f>'SNB-2020'!I72</f>
        <v>7</v>
      </c>
      <c r="E178" s="109">
        <f>'SNB-2020'!J72</f>
        <v>5.120000000000001</v>
      </c>
      <c r="F178" s="108" t="e">
        <f t="shared" si="2"/>
        <v>#REF!</v>
      </c>
      <c r="G178" s="108" t="e">
        <f t="shared" si="3"/>
        <v>#REF!</v>
      </c>
      <c r="H178" s="108" t="e">
        <f t="shared" si="4"/>
        <v>#REF!</v>
      </c>
      <c r="I178" s="107" t="e">
        <f t="shared" si="5"/>
        <v>#REF!</v>
      </c>
      <c r="J178" s="106" t="e">
        <f t="shared" si="6"/>
        <v>#REF!</v>
      </c>
      <c r="K178" s="106" t="e">
        <f t="shared" si="7"/>
        <v>#REF!</v>
      </c>
      <c r="L178" s="106" t="e">
        <f t="shared" si="8"/>
        <v>#REF!</v>
      </c>
      <c r="M178" s="94"/>
      <c r="N178" s="122"/>
      <c r="O178" s="121"/>
    </row>
    <row r="179" spans="1:15">
      <c r="A179" s="94">
        <f>A178</f>
        <v>200</v>
      </c>
      <c r="B179" s="94">
        <f t="shared" si="9"/>
        <v>250</v>
      </c>
      <c r="C179" s="94">
        <v>1</v>
      </c>
      <c r="D179" s="94">
        <f>'SNB-2020'!I73</f>
        <v>7</v>
      </c>
      <c r="E179" s="109">
        <f>'SNB-2020'!J73</f>
        <v>10.496</v>
      </c>
      <c r="F179" s="108" t="e">
        <f t="shared" si="2"/>
        <v>#REF!</v>
      </c>
      <c r="G179" s="108" t="e">
        <f t="shared" si="3"/>
        <v>#REF!</v>
      </c>
      <c r="H179" s="108" t="e">
        <f t="shared" si="4"/>
        <v>#REF!</v>
      </c>
      <c r="I179" s="107" t="e">
        <f t="shared" si="5"/>
        <v>#REF!</v>
      </c>
      <c r="J179" s="106" t="e">
        <f t="shared" si="6"/>
        <v>#REF!</v>
      </c>
      <c r="K179" s="106" t="e">
        <f t="shared" si="7"/>
        <v>#REF!</v>
      </c>
      <c r="L179" s="106" t="e">
        <f t="shared" si="8"/>
        <v>#REF!</v>
      </c>
      <c r="M179" s="94"/>
      <c r="N179" s="122"/>
      <c r="O179" s="121"/>
    </row>
    <row r="180" spans="1:15">
      <c r="A180" s="94">
        <f>A179</f>
        <v>200</v>
      </c>
      <c r="B180" s="94">
        <f t="shared" si="9"/>
        <v>300</v>
      </c>
      <c r="C180" s="94">
        <v>1</v>
      </c>
      <c r="D180" s="94">
        <f>'SNB-2020'!I74</f>
        <v>7</v>
      </c>
      <c r="E180" s="109">
        <f>'SNB-2020'!J74</f>
        <v>13.766000000000002</v>
      </c>
      <c r="F180" s="108" t="e">
        <f t="shared" si="2"/>
        <v>#REF!</v>
      </c>
      <c r="G180" s="108" t="e">
        <f t="shared" si="3"/>
        <v>#REF!</v>
      </c>
      <c r="H180" s="108" t="e">
        <f t="shared" si="4"/>
        <v>#REF!</v>
      </c>
      <c r="I180" s="107" t="e">
        <f t="shared" si="5"/>
        <v>#REF!</v>
      </c>
      <c r="J180" s="106" t="e">
        <f t="shared" si="6"/>
        <v>#REF!</v>
      </c>
      <c r="K180" s="106" t="e">
        <f t="shared" si="7"/>
        <v>#REF!</v>
      </c>
      <c r="L180" s="106" t="e">
        <f t="shared" si="8"/>
        <v>#REF!</v>
      </c>
      <c r="M180" s="94"/>
      <c r="N180" s="122"/>
      <c r="O180" s="121"/>
    </row>
    <row r="181" spans="1:15">
      <c r="A181" s="120"/>
      <c r="B181" s="120"/>
      <c r="C181" s="120"/>
      <c r="D181" s="120"/>
      <c r="E181" s="119"/>
      <c r="F181" s="118"/>
      <c r="G181" s="117"/>
      <c r="H181" s="117"/>
      <c r="I181" s="116"/>
      <c r="J181" s="115"/>
      <c r="K181" s="115"/>
      <c r="L181" s="115"/>
      <c r="M181" s="94"/>
      <c r="N181" s="94"/>
    </row>
    <row r="182" spans="1:15">
      <c r="A182" s="120"/>
      <c r="B182" s="120"/>
      <c r="C182" s="120"/>
      <c r="D182" s="120"/>
      <c r="E182" s="119"/>
      <c r="F182" s="118"/>
      <c r="G182" s="117"/>
      <c r="H182" s="117"/>
      <c r="I182" s="116"/>
      <c r="J182" s="115"/>
      <c r="K182" s="115"/>
      <c r="L182" s="115"/>
      <c r="M182" s="94"/>
      <c r="N182" s="94"/>
    </row>
    <row r="183" spans="1:15">
      <c r="A183" s="120"/>
      <c r="B183" s="120"/>
      <c r="C183" s="120"/>
      <c r="D183" s="120"/>
      <c r="E183" s="119"/>
      <c r="F183" s="118"/>
      <c r="G183" s="117"/>
      <c r="H183" s="117"/>
      <c r="I183" s="116"/>
      <c r="J183" s="115"/>
      <c r="K183" s="115"/>
      <c r="L183" s="115"/>
      <c r="M183" s="94"/>
      <c r="N183" s="94"/>
    </row>
    <row r="184" spans="1:15">
      <c r="A184" s="94"/>
      <c r="B184" s="94"/>
      <c r="C184" s="94"/>
      <c r="D184" s="94"/>
      <c r="E184" s="94"/>
      <c r="F184" s="94"/>
      <c r="G184" s="94"/>
      <c r="H184" s="94"/>
      <c r="I184" s="94"/>
      <c r="J184" s="94"/>
      <c r="K184" s="94"/>
      <c r="L184" s="94"/>
      <c r="M184" s="94"/>
      <c r="N184" s="94"/>
    </row>
    <row r="185" spans="1:15">
      <c r="A185" s="94"/>
      <c r="B185" s="94"/>
      <c r="C185" s="94"/>
      <c r="D185" s="94"/>
      <c r="E185" s="94"/>
      <c r="F185" s="94"/>
      <c r="G185" s="94"/>
      <c r="H185" s="94"/>
      <c r="I185" s="94"/>
      <c r="J185" s="104" t="s">
        <v>127</v>
      </c>
      <c r="K185" s="94"/>
      <c r="L185" s="103" t="e">
        <f>AVERAGE(L163:L180)</f>
        <v>#REF!</v>
      </c>
      <c r="M185" s="102" t="s">
        <v>126</v>
      </c>
      <c r="N185" s="114"/>
    </row>
    <row r="186" spans="1:15">
      <c r="A186" s="94"/>
      <c r="B186" s="94"/>
      <c r="C186" s="94"/>
      <c r="D186" s="94"/>
      <c r="E186" s="94"/>
      <c r="F186" s="94"/>
      <c r="G186" s="94"/>
      <c r="H186" s="94"/>
      <c r="I186" s="94"/>
      <c r="J186" s="94"/>
      <c r="K186" s="94"/>
      <c r="L186" s="94"/>
      <c r="M186" s="94"/>
      <c r="N186" s="94"/>
    </row>
    <row r="187" spans="1:15" ht="16.2" thickBot="1">
      <c r="A187" s="113" t="s">
        <v>125</v>
      </c>
      <c r="B187" s="94"/>
      <c r="C187" s="94"/>
      <c r="D187" s="94"/>
      <c r="E187" s="94"/>
      <c r="F187" s="94"/>
      <c r="G187" s="94"/>
      <c r="H187" s="94"/>
      <c r="I187" s="94"/>
      <c r="J187" s="94"/>
      <c r="K187" s="94"/>
      <c r="L187" s="94"/>
      <c r="M187" s="94"/>
      <c r="N187" s="94"/>
    </row>
    <row r="188" spans="1:15" ht="14.4" thickBot="1">
      <c r="A188" s="94"/>
      <c r="B188" s="94"/>
      <c r="C188" s="94"/>
      <c r="D188" s="94"/>
      <c r="E188" s="94"/>
      <c r="F188" s="94"/>
      <c r="G188" s="105" t="s">
        <v>121</v>
      </c>
      <c r="H188" s="94"/>
      <c r="I188" s="94"/>
      <c r="J188" s="112" t="s">
        <v>120</v>
      </c>
      <c r="K188" s="91"/>
      <c r="L188" s="111"/>
      <c r="M188" s="94"/>
      <c r="N188" s="94"/>
    </row>
    <row r="189" spans="1:15">
      <c r="A189" s="105"/>
      <c r="B189" s="105"/>
      <c r="C189" s="105" t="s">
        <v>117</v>
      </c>
      <c r="D189" s="105" t="s">
        <v>119</v>
      </c>
      <c r="E189" s="105" t="s">
        <v>118</v>
      </c>
      <c r="F189" s="105" t="s">
        <v>117</v>
      </c>
      <c r="G189" s="105" t="s">
        <v>116</v>
      </c>
      <c r="H189" s="105" t="s">
        <v>115</v>
      </c>
      <c r="I189" s="105"/>
      <c r="J189" s="105" t="s">
        <v>110</v>
      </c>
      <c r="K189" s="105" t="s">
        <v>114</v>
      </c>
      <c r="L189" s="94"/>
      <c r="M189" s="94"/>
      <c r="N189" s="94"/>
    </row>
    <row r="190" spans="1:15">
      <c r="A190" s="110" t="s">
        <v>113</v>
      </c>
      <c r="B190" s="110" t="s">
        <v>112</v>
      </c>
      <c r="C190" s="110" t="s">
        <v>111</v>
      </c>
      <c r="D190" s="110" t="s">
        <v>111</v>
      </c>
      <c r="E190" s="110" t="s">
        <v>111</v>
      </c>
      <c r="F190" s="110" t="s">
        <v>110</v>
      </c>
      <c r="G190" s="110" t="s">
        <v>110</v>
      </c>
      <c r="H190" s="110" t="s">
        <v>110</v>
      </c>
      <c r="I190" s="110" t="s">
        <v>110</v>
      </c>
      <c r="J190" s="110" t="s">
        <v>109</v>
      </c>
      <c r="K190" s="110" t="s">
        <v>108</v>
      </c>
      <c r="L190" s="110" t="s">
        <v>1</v>
      </c>
      <c r="M190" s="94"/>
      <c r="N190" s="94"/>
    </row>
    <row r="191" spans="1:15">
      <c r="A191" s="105" t="s">
        <v>107</v>
      </c>
      <c r="B191" s="105" t="s">
        <v>106</v>
      </c>
      <c r="C191" s="105"/>
      <c r="D191" s="105"/>
      <c r="E191" s="105"/>
      <c r="F191" s="105" t="s">
        <v>105</v>
      </c>
      <c r="G191" s="105" t="s">
        <v>105</v>
      </c>
      <c r="H191" s="105" t="s">
        <v>105</v>
      </c>
      <c r="I191" s="105" t="s">
        <v>105</v>
      </c>
      <c r="J191" s="105" t="s">
        <v>104</v>
      </c>
      <c r="K191" s="105" t="s">
        <v>104</v>
      </c>
      <c r="L191" s="105" t="s">
        <v>104</v>
      </c>
      <c r="M191" s="94"/>
      <c r="N191" s="94"/>
    </row>
    <row r="192" spans="1:15">
      <c r="A192" s="94"/>
      <c r="B192" s="94"/>
      <c r="C192" s="94"/>
      <c r="D192" s="94"/>
      <c r="E192" s="94"/>
      <c r="F192" s="94"/>
      <c r="G192" s="94"/>
      <c r="H192" s="94"/>
      <c r="I192" s="94"/>
      <c r="J192" s="94"/>
      <c r="K192" s="94"/>
      <c r="L192" s="94"/>
      <c r="M192" s="94"/>
      <c r="N192" s="94"/>
    </row>
    <row r="193" spans="1:14">
      <c r="A193" s="94">
        <v>50</v>
      </c>
      <c r="B193" s="94">
        <v>50</v>
      </c>
      <c r="C193" s="107">
        <f>0</f>
        <v>0</v>
      </c>
      <c r="D193" s="107">
        <f>'SNB-2020'!I87</f>
        <v>0</v>
      </c>
      <c r="E193" s="109">
        <f>'SNB-2020'!F83</f>
        <v>45.400000000000006</v>
      </c>
      <c r="F193" s="108" t="e">
        <f>(C193*$D$142)+(D193*$D$143)</f>
        <v>#REF!</v>
      </c>
      <c r="G193" s="108" t="e">
        <f>$D$144*A193*1000</f>
        <v>#REF!</v>
      </c>
      <c r="H193" s="108" t="e">
        <f>E193*$D$141</f>
        <v>#REF!</v>
      </c>
      <c r="I193" s="107" t="e">
        <f>F193+G193+H193</f>
        <v>#REF!</v>
      </c>
      <c r="J193" s="106" t="e">
        <f>I193/A193/365/1000</f>
        <v>#REF!</v>
      </c>
      <c r="K193" s="106" t="e">
        <f>$D$45</f>
        <v>#REF!</v>
      </c>
      <c r="L193" s="106" t="e">
        <f>K193+J193</f>
        <v>#REF!</v>
      </c>
      <c r="M193" s="94"/>
      <c r="N193" s="94"/>
    </row>
    <row r="194" spans="1:14">
      <c r="A194" s="94">
        <v>100</v>
      </c>
      <c r="B194" s="94">
        <v>100</v>
      </c>
      <c r="C194" s="107">
        <f>0</f>
        <v>0</v>
      </c>
      <c r="D194" s="107">
        <f>'SNB-2020'!I88</f>
        <v>0</v>
      </c>
      <c r="E194" s="109">
        <f>'SNB-2020'!F88</f>
        <v>78.2</v>
      </c>
      <c r="F194" s="108" t="e">
        <f>(C194*$D$142)+(D194*$D$143)</f>
        <v>#REF!</v>
      </c>
      <c r="G194" s="108" t="e">
        <f>$D$144*A194*1000</f>
        <v>#REF!</v>
      </c>
      <c r="H194" s="108" t="e">
        <f>E194*$D$141</f>
        <v>#REF!</v>
      </c>
      <c r="I194" s="107" t="e">
        <f>F194+G194+H194</f>
        <v>#REF!</v>
      </c>
      <c r="J194" s="106" t="e">
        <f>I194/A194/365/1000</f>
        <v>#REF!</v>
      </c>
      <c r="K194" s="106" t="e">
        <f>$D$45</f>
        <v>#REF!</v>
      </c>
      <c r="L194" s="106" t="e">
        <f>K194+J194</f>
        <v>#REF!</v>
      </c>
      <c r="M194" s="94"/>
      <c r="N194" s="94"/>
    </row>
    <row r="195" spans="1:14">
      <c r="A195" s="94">
        <v>150</v>
      </c>
      <c r="B195" s="94">
        <v>150</v>
      </c>
      <c r="C195" s="107">
        <f>0</f>
        <v>0</v>
      </c>
      <c r="D195" s="107">
        <f>'SNB-2020'!I89</f>
        <v>0</v>
      </c>
      <c r="E195" s="109">
        <f>'SNB-2020'!F92</f>
        <v>123.4</v>
      </c>
      <c r="F195" s="108" t="e">
        <f>(C195*$D$142)+(D195*$D$143)</f>
        <v>#REF!</v>
      </c>
      <c r="G195" s="108" t="e">
        <f>$D$144*A195*1000</f>
        <v>#REF!</v>
      </c>
      <c r="H195" s="108" t="e">
        <f>E195*$D$141</f>
        <v>#REF!</v>
      </c>
      <c r="I195" s="107" t="e">
        <f>F195+G195+H195</f>
        <v>#REF!</v>
      </c>
      <c r="J195" s="106" t="e">
        <f>I195/A195/365/1000</f>
        <v>#REF!</v>
      </c>
      <c r="K195" s="106" t="e">
        <f>$D$45</f>
        <v>#REF!</v>
      </c>
      <c r="L195" s="106" t="e">
        <f>K195+J195</f>
        <v>#REF!</v>
      </c>
      <c r="M195" s="94"/>
      <c r="N195" s="94"/>
    </row>
    <row r="196" spans="1:14">
      <c r="A196" s="94">
        <v>200</v>
      </c>
      <c r="B196" s="94">
        <v>200</v>
      </c>
      <c r="C196" s="107">
        <f>0</f>
        <v>0</v>
      </c>
      <c r="D196" s="107">
        <f>'SNB-2020'!I90</f>
        <v>0</v>
      </c>
      <c r="E196" s="109">
        <f>'SNB-2020'!F97</f>
        <v>123.5</v>
      </c>
      <c r="F196" s="108" t="e">
        <f>(C196*$D$142)+(D196*$D$143)</f>
        <v>#REF!</v>
      </c>
      <c r="G196" s="108" t="e">
        <f>$D$144*A196*1000</f>
        <v>#REF!</v>
      </c>
      <c r="H196" s="108" t="e">
        <f>E196*$D$141</f>
        <v>#REF!</v>
      </c>
      <c r="I196" s="107" t="e">
        <f>F196+G196+H196</f>
        <v>#REF!</v>
      </c>
      <c r="J196" s="106" t="e">
        <f>I196/A196/365/1000</f>
        <v>#REF!</v>
      </c>
      <c r="K196" s="106" t="e">
        <f>$D$45</f>
        <v>#REF!</v>
      </c>
      <c r="L196" s="106" t="e">
        <f>K196+J196</f>
        <v>#REF!</v>
      </c>
      <c r="M196" s="94"/>
      <c r="N196" s="94"/>
    </row>
    <row r="197" spans="1:14">
      <c r="A197" s="94"/>
      <c r="B197" s="94"/>
      <c r="C197" s="94"/>
      <c r="D197" s="94"/>
      <c r="E197" s="94"/>
      <c r="F197" s="94"/>
      <c r="G197" s="94"/>
      <c r="H197" s="94"/>
      <c r="I197" s="94"/>
      <c r="J197" s="94"/>
      <c r="K197" s="94"/>
      <c r="L197" s="94"/>
      <c r="M197" s="94"/>
      <c r="N197" s="94"/>
    </row>
    <row r="198" spans="1:14">
      <c r="A198" s="94"/>
      <c r="B198" s="94"/>
      <c r="C198" s="94"/>
      <c r="D198" s="94"/>
      <c r="E198" s="94"/>
      <c r="F198" s="94"/>
      <c r="G198" s="94"/>
      <c r="H198" s="94"/>
      <c r="I198" s="94"/>
      <c r="J198" s="104" t="s">
        <v>124</v>
      </c>
      <c r="K198" s="94"/>
      <c r="L198" s="103" t="e">
        <f>AVERAGE(L193:L196)</f>
        <v>#REF!</v>
      </c>
      <c r="M198" s="94" t="s">
        <v>123</v>
      </c>
      <c r="N198" s="94"/>
    </row>
    <row r="199" spans="1:14">
      <c r="A199" s="94"/>
      <c r="B199" s="94"/>
      <c r="C199" s="94"/>
      <c r="D199" s="94"/>
      <c r="E199" s="94"/>
      <c r="F199" s="94"/>
      <c r="G199" s="94"/>
      <c r="H199" s="94"/>
      <c r="I199" s="94"/>
      <c r="J199" s="104"/>
      <c r="K199" s="94"/>
      <c r="L199" s="103"/>
      <c r="M199" s="94"/>
      <c r="N199" s="94"/>
    </row>
    <row r="200" spans="1:14">
      <c r="M200" s="94"/>
      <c r="N200" s="94"/>
    </row>
    <row r="201" spans="1:14" ht="16.2" thickBot="1">
      <c r="A201" s="113" t="s">
        <v>122</v>
      </c>
      <c r="B201" s="94"/>
      <c r="C201" s="94"/>
      <c r="D201" s="94"/>
      <c r="E201" s="94"/>
      <c r="F201" s="94"/>
      <c r="G201" s="94"/>
      <c r="H201" s="94"/>
      <c r="I201" s="94"/>
      <c r="J201" s="94"/>
      <c r="K201" s="94"/>
      <c r="L201" s="94"/>
      <c r="M201" s="94"/>
      <c r="N201" s="94"/>
    </row>
    <row r="202" spans="1:14" ht="14.4" thickBot="1">
      <c r="A202" s="94"/>
      <c r="B202" s="94"/>
      <c r="C202" s="94"/>
      <c r="D202" s="94"/>
      <c r="E202" s="94"/>
      <c r="F202" s="94"/>
      <c r="G202" s="105" t="s">
        <v>121</v>
      </c>
      <c r="H202" s="94"/>
      <c r="I202" s="94"/>
      <c r="J202" s="112" t="s">
        <v>120</v>
      </c>
      <c r="K202" s="91"/>
      <c r="L202" s="111"/>
      <c r="M202" s="94"/>
      <c r="N202" s="94"/>
    </row>
    <row r="203" spans="1:14">
      <c r="A203" s="105"/>
      <c r="B203" s="105"/>
      <c r="C203" s="105" t="s">
        <v>117</v>
      </c>
      <c r="D203" s="105" t="s">
        <v>119</v>
      </c>
      <c r="E203" s="105" t="s">
        <v>118</v>
      </c>
      <c r="F203" s="105" t="s">
        <v>117</v>
      </c>
      <c r="G203" s="105" t="s">
        <v>116</v>
      </c>
      <c r="H203" s="105" t="s">
        <v>115</v>
      </c>
      <c r="I203" s="105"/>
      <c r="J203" s="105" t="s">
        <v>110</v>
      </c>
      <c r="K203" s="105" t="s">
        <v>114</v>
      </c>
      <c r="L203" s="94"/>
      <c r="M203" s="94"/>
      <c r="N203" s="94"/>
    </row>
    <row r="204" spans="1:14">
      <c r="A204" s="110" t="s">
        <v>113</v>
      </c>
      <c r="B204" s="110" t="s">
        <v>112</v>
      </c>
      <c r="C204" s="110" t="s">
        <v>111</v>
      </c>
      <c r="D204" s="110" t="s">
        <v>111</v>
      </c>
      <c r="E204" s="110" t="s">
        <v>111</v>
      </c>
      <c r="F204" s="110" t="s">
        <v>110</v>
      </c>
      <c r="G204" s="110" t="s">
        <v>110</v>
      </c>
      <c r="H204" s="110" t="s">
        <v>110</v>
      </c>
      <c r="I204" s="110" t="s">
        <v>110</v>
      </c>
      <c r="J204" s="110" t="s">
        <v>109</v>
      </c>
      <c r="K204" s="110" t="s">
        <v>108</v>
      </c>
      <c r="L204" s="110" t="s">
        <v>1</v>
      </c>
      <c r="M204" s="94"/>
      <c r="N204" s="94"/>
    </row>
    <row r="205" spans="1:14">
      <c r="A205" s="105" t="s">
        <v>107</v>
      </c>
      <c r="B205" s="105" t="s">
        <v>106</v>
      </c>
      <c r="C205" s="105"/>
      <c r="D205" s="105"/>
      <c r="E205" s="105"/>
      <c r="F205" s="105" t="s">
        <v>105</v>
      </c>
      <c r="G205" s="105" t="s">
        <v>105</v>
      </c>
      <c r="H205" s="105" t="s">
        <v>105</v>
      </c>
      <c r="I205" s="105" t="s">
        <v>105</v>
      </c>
      <c r="J205" s="105" t="s">
        <v>104</v>
      </c>
      <c r="K205" s="105" t="s">
        <v>104</v>
      </c>
      <c r="L205" s="105" t="s">
        <v>104</v>
      </c>
      <c r="M205" s="94"/>
      <c r="N205" s="94"/>
    </row>
    <row r="206" spans="1:14">
      <c r="A206" s="94"/>
      <c r="B206" s="94"/>
      <c r="C206" s="94"/>
      <c r="D206" s="94"/>
      <c r="E206" s="94"/>
      <c r="F206" s="94"/>
      <c r="G206" s="94"/>
      <c r="H206" s="94"/>
      <c r="I206" s="94"/>
      <c r="J206" s="94"/>
      <c r="K206" s="94"/>
      <c r="L206" s="94"/>
      <c r="M206" s="94"/>
      <c r="N206" s="94"/>
    </row>
    <row r="207" spans="1:14">
      <c r="A207" s="94">
        <v>50</v>
      </c>
      <c r="B207" s="94">
        <v>50</v>
      </c>
      <c r="C207" s="107">
        <v>1</v>
      </c>
      <c r="D207" s="107">
        <f>'SNB-2020'!F107</f>
        <v>1</v>
      </c>
      <c r="E207" s="109">
        <v>0</v>
      </c>
      <c r="F207" s="108" t="e">
        <f>(C207*$D$142)+(D207*$D$143)</f>
        <v>#REF!</v>
      </c>
      <c r="G207" s="108" t="e">
        <f>$D$144*A207*1000</f>
        <v>#REF!</v>
      </c>
      <c r="H207" s="108" t="e">
        <f>E207*$D$141</f>
        <v>#REF!</v>
      </c>
      <c r="I207" s="107" t="e">
        <f>F207+G207+H207</f>
        <v>#REF!</v>
      </c>
      <c r="J207" s="106" t="e">
        <f>I207/A207/365/1000</f>
        <v>#REF!</v>
      </c>
      <c r="K207" s="106" t="e">
        <f>$D$45</f>
        <v>#REF!</v>
      </c>
      <c r="L207" s="106" t="e">
        <f>K207+J207</f>
        <v>#REF!</v>
      </c>
      <c r="M207" s="94"/>
      <c r="N207" s="94"/>
    </row>
    <row r="208" spans="1:14">
      <c r="A208" s="94">
        <v>100</v>
      </c>
      <c r="B208" s="94">
        <v>100</v>
      </c>
      <c r="C208" s="107">
        <v>1</v>
      </c>
      <c r="D208" s="107">
        <f>'SNB-2020'!F108</f>
        <v>1</v>
      </c>
      <c r="E208" s="109">
        <v>0</v>
      </c>
      <c r="F208" s="108" t="e">
        <f>(C208*$D$142)+(D208*$D$143)</f>
        <v>#REF!</v>
      </c>
      <c r="G208" s="108" t="e">
        <f>$D$144*A208*1000</f>
        <v>#REF!</v>
      </c>
      <c r="H208" s="108" t="e">
        <f>E208*$D$141</f>
        <v>#REF!</v>
      </c>
      <c r="I208" s="107" t="e">
        <f>F208+G208+H208</f>
        <v>#REF!</v>
      </c>
      <c r="J208" s="106" t="e">
        <f>I208/A208/365/1000</f>
        <v>#REF!</v>
      </c>
      <c r="K208" s="106" t="e">
        <f>$D$45</f>
        <v>#REF!</v>
      </c>
      <c r="L208" s="106" t="e">
        <f>K208+J208</f>
        <v>#REF!</v>
      </c>
      <c r="M208" s="94"/>
      <c r="N208" s="94"/>
    </row>
    <row r="209" spans="1:14">
      <c r="A209" s="94">
        <v>150</v>
      </c>
      <c r="B209" s="94">
        <v>150</v>
      </c>
      <c r="C209" s="107">
        <v>1</v>
      </c>
      <c r="D209" s="107">
        <f>'SNB-2020'!F110</f>
        <v>6</v>
      </c>
      <c r="E209" s="109">
        <v>0</v>
      </c>
      <c r="F209" s="108" t="e">
        <f>(C209*$D$142)+(D209*$D$143)</f>
        <v>#REF!</v>
      </c>
      <c r="G209" s="108" t="e">
        <f>$D$144*A209*1000</f>
        <v>#REF!</v>
      </c>
      <c r="H209" s="108" t="e">
        <f>E209*$D$141</f>
        <v>#REF!</v>
      </c>
      <c r="I209" s="107" t="e">
        <f>F209+G209+H209</f>
        <v>#REF!</v>
      </c>
      <c r="J209" s="106" t="e">
        <f>I209/A209/365/1000</f>
        <v>#REF!</v>
      </c>
      <c r="K209" s="106" t="e">
        <f>$D$45</f>
        <v>#REF!</v>
      </c>
      <c r="L209" s="106" t="e">
        <f>K209+J209</f>
        <v>#REF!</v>
      </c>
      <c r="M209" s="94"/>
      <c r="N209" s="94"/>
    </row>
    <row r="210" spans="1:14">
      <c r="A210" s="94">
        <v>200</v>
      </c>
      <c r="B210" s="94">
        <v>200</v>
      </c>
      <c r="C210" s="107">
        <v>1</v>
      </c>
      <c r="D210" s="107">
        <f>'SNB-2020'!F111</f>
        <v>6</v>
      </c>
      <c r="E210" s="109">
        <v>0</v>
      </c>
      <c r="F210" s="108" t="e">
        <f>(C210*$D$142)+(D210*$D$143)</f>
        <v>#REF!</v>
      </c>
      <c r="G210" s="108" t="e">
        <f>$D$144*A210*1000</f>
        <v>#REF!</v>
      </c>
      <c r="H210" s="108" t="e">
        <f>E210*$D$141</f>
        <v>#REF!</v>
      </c>
      <c r="I210" s="107" t="e">
        <f>F210+G210+H210</f>
        <v>#REF!</v>
      </c>
      <c r="J210" s="106" t="e">
        <f>I210/A210/365/1000</f>
        <v>#REF!</v>
      </c>
      <c r="K210" s="106" t="e">
        <f>$D$45</f>
        <v>#REF!</v>
      </c>
      <c r="L210" s="106" t="e">
        <f>K210+J210</f>
        <v>#REF!</v>
      </c>
      <c r="M210" s="94"/>
      <c r="N210" s="94"/>
    </row>
    <row r="211" spans="1:14">
      <c r="A211" s="94"/>
      <c r="B211" s="94"/>
      <c r="C211" s="94"/>
      <c r="D211" s="94"/>
      <c r="E211" s="94"/>
      <c r="F211" s="94"/>
      <c r="G211" s="94"/>
      <c r="H211" s="94"/>
      <c r="I211" s="94"/>
      <c r="J211" s="94"/>
      <c r="K211" s="94"/>
      <c r="L211" s="94"/>
      <c r="M211" s="105" t="s">
        <v>103</v>
      </c>
      <c r="N211" s="94"/>
    </row>
    <row r="212" spans="1:14">
      <c r="A212" s="94"/>
      <c r="B212" s="94"/>
      <c r="C212" s="94"/>
      <c r="D212" s="94"/>
      <c r="E212" s="94"/>
      <c r="F212" s="94"/>
      <c r="G212" s="94"/>
      <c r="H212" s="94"/>
      <c r="I212" s="94"/>
      <c r="J212" s="104" t="s">
        <v>102</v>
      </c>
      <c r="K212" s="94"/>
      <c r="L212" s="103" t="e">
        <f>AVERAGE(L207:L210)</f>
        <v>#REF!</v>
      </c>
      <c r="M212" s="94"/>
      <c r="N212" s="94"/>
    </row>
    <row r="213" spans="1:14">
      <c r="A213" s="94"/>
      <c r="B213" s="94"/>
      <c r="C213" s="94"/>
      <c r="D213" s="94"/>
      <c r="E213" s="94"/>
      <c r="F213" s="94"/>
      <c r="G213" s="94"/>
      <c r="H213" s="94"/>
      <c r="I213" s="94"/>
      <c r="J213" s="104"/>
      <c r="K213" s="94"/>
      <c r="L213" s="103"/>
      <c r="M213" s="102" t="s">
        <v>101</v>
      </c>
      <c r="N213" s="94"/>
    </row>
    <row r="214" spans="1:14" ht="15.6">
      <c r="A214" s="94"/>
      <c r="B214" s="94"/>
      <c r="C214" s="101"/>
      <c r="D214" s="100"/>
      <c r="E214" s="100"/>
      <c r="F214" s="100"/>
      <c r="G214" s="100"/>
      <c r="H214" s="100"/>
      <c r="I214" s="100"/>
      <c r="J214" s="99" t="s">
        <v>100</v>
      </c>
      <c r="K214" s="98"/>
      <c r="L214" s="97" t="e">
        <f>ROUND((L185+L198+L212)/3,5)</f>
        <v>#REF!</v>
      </c>
      <c r="M214" s="94"/>
      <c r="N214" s="94"/>
    </row>
    <row r="215" spans="1:14">
      <c r="A215" s="94"/>
      <c r="B215" s="94"/>
      <c r="C215" s="94"/>
      <c r="D215" s="93"/>
      <c r="E215" s="93"/>
      <c r="F215" s="93"/>
      <c r="G215" s="94"/>
      <c r="H215" s="94"/>
      <c r="I215" s="94"/>
      <c r="J215" s="94"/>
      <c r="K215" s="94"/>
      <c r="L215" s="94"/>
      <c r="M215" s="94"/>
      <c r="N215" s="94"/>
    </row>
    <row r="216" spans="1:14" ht="15.6">
      <c r="A216" s="94"/>
      <c r="B216" s="94"/>
      <c r="C216" s="94"/>
      <c r="D216" s="93"/>
      <c r="E216" s="93"/>
      <c r="F216" s="93"/>
      <c r="G216" s="94"/>
      <c r="H216" s="94"/>
      <c r="I216" s="93"/>
      <c r="J216" s="95"/>
      <c r="K216" s="96"/>
      <c r="L216" s="95" t="s">
        <v>99</v>
      </c>
      <c r="M216" s="94"/>
      <c r="N216" s="94"/>
    </row>
    <row r="217" spans="1:14" ht="14.4" thickBot="1">
      <c r="A217" s="94"/>
      <c r="B217" s="94"/>
      <c r="C217" s="94"/>
      <c r="D217" s="93"/>
      <c r="E217" s="93"/>
      <c r="F217" s="93"/>
      <c r="G217" s="94"/>
      <c r="H217" s="94"/>
      <c r="I217" s="94"/>
      <c r="J217" s="94"/>
      <c r="K217" s="94"/>
      <c r="L217" s="94"/>
      <c r="M217" s="94"/>
      <c r="N217" s="94"/>
    </row>
    <row r="218" spans="1:14" ht="16.2" thickBot="1">
      <c r="A218" s="94"/>
      <c r="B218" s="94"/>
      <c r="C218" s="94"/>
      <c r="D218" s="93"/>
      <c r="E218" s="93"/>
      <c r="F218" s="93"/>
      <c r="G218" s="92"/>
      <c r="H218" s="91"/>
      <c r="I218" s="91"/>
      <c r="J218" s="90" t="s">
        <v>98</v>
      </c>
      <c r="K218" s="89"/>
      <c r="L218" s="88" t="e">
        <f>ROUND((L214*365/12),5)</f>
        <v>#REF!</v>
      </c>
    </row>
    <row r="219" spans="1:14">
      <c r="K219" s="49"/>
    </row>
    <row r="220" spans="1:14">
      <c r="K220" s="49"/>
    </row>
    <row r="221" spans="1:14" s="87" customFormat="1"/>
  </sheetData>
  <mergeCells count="5">
    <mergeCell ref="D54:G54"/>
    <mergeCell ref="B57:B62"/>
    <mergeCell ref="B63:B67"/>
    <mergeCell ref="B68:B71"/>
    <mergeCell ref="B72:B74"/>
  </mergeCells>
  <pageMargins left="0.75" right="0.75" top="1" bottom="1" header="0.5" footer="0.5"/>
  <pageSetup paperSize="5" scale="47" fitToHeight="4" orientation="landscape" r:id="rId1"/>
  <headerFooter alignWithMargins="0"/>
  <rowBreaks count="3" manualBreakCount="3">
    <brk id="47" max="12" man="1"/>
    <brk id="112" max="12" man="1"/>
    <brk id="148"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2A38CBB84B9FD2489237CAD3EB574B09" ma:contentTypeVersion="0" ma:contentTypeDescription="Create a new document." ma:contentTypeScope="" ma:versionID="f2136d658b751c25f191dfec08925b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41667A-F2C9-4E10-9E1A-C204CB7E59BD}">
  <ds:schemaRefs>
    <ds:schemaRef ds:uri="http://schemas.microsoft.com/sharepoint/v3/contenttype/forms"/>
  </ds:schemaRefs>
</ds:datastoreItem>
</file>

<file path=customXml/itemProps2.xml><?xml version="1.0" encoding="utf-8"?>
<ds:datastoreItem xmlns:ds="http://schemas.openxmlformats.org/officeDocument/2006/customXml" ds:itemID="{0B27BCD0-D00E-471F-AE08-7288BA70AF7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5BFB137E-5EA8-4F37-98B7-BB57AAEC3508}">
  <ds:schemaRefs>
    <ds:schemaRef ds:uri="http://schemas.microsoft.com/PowerBIAddIn"/>
  </ds:schemaRefs>
</ds:datastoreItem>
</file>

<file path=customXml/itemProps4.xml><?xml version="1.0" encoding="utf-8"?>
<ds:datastoreItem xmlns:ds="http://schemas.openxmlformats.org/officeDocument/2006/customXml" ds:itemID="{E580ACB1-0D63-42DF-BCB9-1FCB6E7FB2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Segmented SAUC</vt:lpstr>
      <vt:lpstr>TBO 2015</vt:lpstr>
      <vt:lpstr>TBO 2016</vt:lpstr>
      <vt:lpstr>SNB-2015 </vt:lpstr>
      <vt:lpstr>SNB-2016</vt:lpstr>
      <vt:lpstr>SNB-2017</vt:lpstr>
      <vt:lpstr>SNB-2018</vt:lpstr>
      <vt:lpstr>SNB-2019</vt:lpstr>
      <vt:lpstr>SNB-2020</vt:lpstr>
      <vt:lpstr>SNB-Average</vt:lpstr>
      <vt:lpstr>SNB-Compliance</vt:lpstr>
      <vt:lpstr>SNB-Compliance (2)</vt:lpstr>
      <vt:lpstr>Net Plant</vt:lpstr>
      <vt:lpstr>2017 (Jul) SchedA</vt:lpstr>
      <vt:lpstr>2017 (Jul) SchedB</vt:lpstr>
      <vt:lpstr>'2017 (Jul) SchedA'!Print_Area</vt:lpstr>
      <vt:lpstr>'2017 (Jul) SchedB'!Print_Area</vt:lpstr>
      <vt:lpstr>'TBO 2015'!Print_Area</vt:lpstr>
      <vt:lpstr>'TBO 2016'!Print_Area</vt:lpstr>
      <vt:lpstr>'2017 (Jul) SchedA'!Print_Titles</vt:lpstr>
      <vt:lpstr>'2017 (Jul) SchedB'!Print_Titles</vt:lpstr>
    </vt:vector>
  </TitlesOfParts>
  <Company>TransCanada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 Nandrea</dc:creator>
  <cp:lastModifiedBy>Paulo Deoliveira</cp:lastModifiedBy>
  <cp:lastPrinted>2017-11-15T21:11:49Z</cp:lastPrinted>
  <dcterms:created xsi:type="dcterms:W3CDTF">2013-09-03T16:29:11Z</dcterms:created>
  <dcterms:modified xsi:type="dcterms:W3CDTF">2017-11-28T16:29:54Z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0x0101002A38CBB84B9FD2489237CAD3EB574B09</vt:lpwstr>
  </property>
  <property fmtid="{D5CDD505-2E9C-101B-9397-08002B2CF9AE}" pid="3" name="Order">
    <vt:r8>25100</vt:r8>
  </property>
  <property fmtid="{D5CDD505-2E9C-101B-9397-08002B2CF9AE}" pid="4" name="xd_ProgID">
    <vt:lpwstr/>
  </property>
  <property fmtid="{D5CDD505-2E9C-101B-9397-08002B2CF9AE}" pid="5" name="TemplateUrl">
    <vt:lpwstr/>
  </property>
</Properties>
</file>